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criteois.sharepoint.com/sites/InvestorInfluencerRelations/Shared Documents/Website/Financials-IR website/2024/"/>
    </mc:Choice>
  </mc:AlternateContent>
  <xr:revisionPtr revIDLastSave="338" documentId="8_{7DF2104B-D6FD-4BED-9DF3-0729BDFE0553}" xr6:coauthVersionLast="47" xr6:coauthVersionMax="47" xr10:uidLastSave="{09B87B14-B6FA-4736-85C9-FECA1F578518}"/>
  <bookViews>
    <workbookView xWindow="96" yWindow="108" windowWidth="23040" windowHeight="13668" tabRatio="841" firstSheet="5" activeTab="9" xr2:uid="{00000000-000D-0000-FFFF-FFFF00000000}"/>
  </bookViews>
  <sheets>
    <sheet name="Balance Sheet" sheetId="1" r:id="rId1"/>
    <sheet name="P&amp;L" sheetId="2" r:id="rId2"/>
    <sheet name="Cashflows" sheetId="3" r:id="rId3"/>
    <sheet name="Free Cash Flow" sheetId="4" r:id="rId4"/>
    <sheet name="Contribution Ex Tac" sheetId="5" r:id="rId5"/>
    <sheet name="Reconciliation Adj EBITDA" sheetId="6" r:id="rId6"/>
    <sheet name="Non GAAP OPEX" sheetId="7" r:id="rId7"/>
    <sheet name="Non GAAP Adjustments" sheetId="8" r:id="rId8"/>
    <sheet name="Adjusted Net Inc" sheetId="9" r:id="rId9"/>
    <sheet name="Historic Quarter Summary" sheetId="12" r:id="rId10"/>
    <sheet name="Shares Outstanding" sheetId="11"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12" l="1"/>
  <c r="E34" i="12"/>
  <c r="F34" i="12"/>
  <c r="G34" i="12"/>
  <c r="H34" i="12"/>
  <c r="I34" i="12"/>
  <c r="J34" i="12"/>
  <c r="K34" i="12"/>
  <c r="L34" i="12"/>
  <c r="C34" i="12"/>
  <c r="B34" i="12"/>
  <c r="C23" i="5"/>
  <c r="D23" i="5"/>
  <c r="E23" i="5"/>
  <c r="G23" i="5"/>
  <c r="H23" i="5"/>
  <c r="I23" i="5"/>
  <c r="J23" i="5"/>
  <c r="L23" i="5"/>
  <c r="B23" i="5"/>
  <c r="L18" i="5"/>
  <c r="C13" i="5"/>
  <c r="D13" i="5"/>
  <c r="E13" i="5"/>
  <c r="G13" i="5"/>
  <c r="H13" i="5"/>
  <c r="I13" i="5"/>
  <c r="J13" i="5"/>
  <c r="L13" i="5"/>
  <c r="B13" i="5"/>
  <c r="AI15" i="1"/>
  <c r="AU19" i="9"/>
  <c r="AT19" i="9"/>
  <c r="AU23" i="7" l="1"/>
  <c r="AU21" i="7"/>
  <c r="AU20" i="7"/>
  <c r="AU19" i="7"/>
  <c r="AU16" i="7"/>
  <c r="AU34" i="7" s="1"/>
  <c r="AU14" i="7"/>
  <c r="AU13" i="7"/>
  <c r="AU29" i="7" s="1"/>
  <c r="AU12" i="7"/>
  <c r="AU9" i="7"/>
  <c r="AU31" i="7" s="1"/>
  <c r="AU8" i="7"/>
  <c r="AU7" i="7"/>
  <c r="AU6" i="7"/>
  <c r="AU5" i="7"/>
  <c r="AU18" i="3"/>
  <c r="AL12" i="11"/>
  <c r="AL14" i="11" s="1"/>
  <c r="L38" i="12"/>
  <c r="L40" i="12" s="1"/>
  <c r="L31" i="12"/>
  <c r="L32" i="12"/>
  <c r="L22" i="12"/>
  <c r="L23" i="12"/>
  <c r="L19" i="12"/>
  <c r="L28" i="12" s="1"/>
  <c r="L18" i="12"/>
  <c r="L27" i="12" s="1"/>
  <c r="L17" i="12"/>
  <c r="L26" i="12" s="1"/>
  <c r="L13" i="12"/>
  <c r="L14" i="12"/>
  <c r="AU18" i="9"/>
  <c r="AU42" i="8"/>
  <c r="AU41" i="8"/>
  <c r="AU40" i="8"/>
  <c r="AU39" i="8"/>
  <c r="AU35" i="8"/>
  <c r="AU34" i="8"/>
  <c r="AU36" i="8" s="1"/>
  <c r="AU26" i="8"/>
  <c r="AU27" i="8" s="1"/>
  <c r="AU20" i="8"/>
  <c r="AU19" i="8"/>
  <c r="AU18" i="8"/>
  <c r="AU17" i="8"/>
  <c r="AU13" i="8"/>
  <c r="AU12" i="8"/>
  <c r="AU11" i="8"/>
  <c r="AU7" i="8"/>
  <c r="AU6" i="8"/>
  <c r="AU5" i="8"/>
  <c r="AU29" i="6"/>
  <c r="AU24" i="6"/>
  <c r="AU11" i="9" s="1"/>
  <c r="AU21" i="6"/>
  <c r="AU9" i="9" s="1"/>
  <c r="AU16" i="6"/>
  <c r="AU12" i="6"/>
  <c r="AU8" i="6"/>
  <c r="AU7" i="9" s="1"/>
  <c r="AU7" i="6"/>
  <c r="AU18" i="7"/>
  <c r="AU11" i="7"/>
  <c r="AU4" i="7"/>
  <c r="L30" i="12"/>
  <c r="L21" i="12"/>
  <c r="L12" i="12"/>
  <c r="L6" i="5"/>
  <c r="AU7" i="4"/>
  <c r="AU5" i="4"/>
  <c r="AU41" i="3"/>
  <c r="AU33" i="3"/>
  <c r="AU5" i="3"/>
  <c r="AU17" i="2"/>
  <c r="AU11" i="2"/>
  <c r="AU18" i="2" s="1"/>
  <c r="AU20" i="2" s="1"/>
  <c r="AU22" i="2" s="1"/>
  <c r="AU24" i="2" s="1"/>
  <c r="AI54" i="1"/>
  <c r="AI56" i="1" s="1"/>
  <c r="AI45" i="1"/>
  <c r="AI38" i="1"/>
  <c r="AI25" i="1"/>
  <c r="C31" i="12"/>
  <c r="D31" i="12"/>
  <c r="E31" i="12"/>
  <c r="G31" i="12"/>
  <c r="H31" i="12"/>
  <c r="I31" i="12"/>
  <c r="J31" i="12"/>
  <c r="B31" i="12"/>
  <c r="C32" i="12"/>
  <c r="D32" i="12"/>
  <c r="E32" i="12"/>
  <c r="G32" i="12"/>
  <c r="H32" i="12"/>
  <c r="I32" i="12"/>
  <c r="J32" i="12"/>
  <c r="B32" i="12"/>
  <c r="C13" i="12"/>
  <c r="D13" i="12"/>
  <c r="E13" i="12"/>
  <c r="G13" i="12"/>
  <c r="H13" i="12"/>
  <c r="I13" i="12"/>
  <c r="J13" i="12"/>
  <c r="B13" i="12"/>
  <c r="G14" i="12"/>
  <c r="H14" i="12"/>
  <c r="I14" i="12"/>
  <c r="J14" i="12"/>
  <c r="C14" i="12"/>
  <c r="D14" i="12"/>
  <c r="E14" i="12"/>
  <c r="B14" i="12"/>
  <c r="H30" i="12"/>
  <c r="J16" i="5"/>
  <c r="I16" i="5"/>
  <c r="H16" i="5"/>
  <c r="G16" i="5"/>
  <c r="J17" i="5"/>
  <c r="J23" i="12" s="1"/>
  <c r="I17" i="5"/>
  <c r="I23" i="12" s="1"/>
  <c r="H17" i="5"/>
  <c r="H23" i="12" s="1"/>
  <c r="G17" i="5"/>
  <c r="G23" i="12" s="1"/>
  <c r="K21" i="5"/>
  <c r="K22" i="5"/>
  <c r="K32" i="12" s="1"/>
  <c r="F21" i="5"/>
  <c r="F22" i="5"/>
  <c r="F32" i="12" s="1"/>
  <c r="C16" i="5"/>
  <c r="D16" i="5"/>
  <c r="E16" i="5"/>
  <c r="C17" i="5"/>
  <c r="C23" i="12" s="1"/>
  <c r="D17" i="5"/>
  <c r="D23" i="12" s="1"/>
  <c r="E17" i="5"/>
  <c r="E23" i="12" s="1"/>
  <c r="B16" i="5"/>
  <c r="B17" i="5"/>
  <c r="B23" i="12" s="1"/>
  <c r="AT37" i="3"/>
  <c r="AS5" i="3"/>
  <c r="AR17" i="3"/>
  <c r="AQ17" i="3"/>
  <c r="AP17" i="3"/>
  <c r="AT30" i="3"/>
  <c r="AS33" i="3"/>
  <c r="AY6" i="4"/>
  <c r="AS23" i="6"/>
  <c r="AT47" i="3"/>
  <c r="J18" i="5" l="1"/>
  <c r="J21" i="12" s="1"/>
  <c r="J22" i="12"/>
  <c r="K31" i="12"/>
  <c r="K23" i="5"/>
  <c r="F31" i="12"/>
  <c r="F23" i="5"/>
  <c r="F30" i="12" s="1"/>
  <c r="AU12" i="9"/>
  <c r="AU34" i="6"/>
  <c r="D22" i="12"/>
  <c r="D18" i="5"/>
  <c r="C22" i="12"/>
  <c r="C18" i="5"/>
  <c r="G22" i="12"/>
  <c r="G18" i="5"/>
  <c r="B22" i="12"/>
  <c r="B18" i="5"/>
  <c r="H22" i="12"/>
  <c r="H18" i="5"/>
  <c r="E22" i="12"/>
  <c r="E18" i="5"/>
  <c r="I22" i="12"/>
  <c r="I18" i="5"/>
  <c r="AU43" i="8"/>
  <c r="AU14" i="8"/>
  <c r="AU14" i="9"/>
  <c r="AU10" i="7"/>
  <c r="AU21" i="8"/>
  <c r="AU8" i="8"/>
  <c r="AU5" i="9"/>
  <c r="AU4" i="3"/>
  <c r="AU25" i="3" s="1"/>
  <c r="AU4" i="6"/>
  <c r="AI46" i="1"/>
  <c r="AI26" i="1"/>
  <c r="L25" i="12"/>
  <c r="L16" i="12"/>
  <c r="AU27" i="7"/>
  <c r="AU26" i="7"/>
  <c r="AU17" i="7"/>
  <c r="AU30" i="7"/>
  <c r="AU28" i="7"/>
  <c r="AU33" i="2"/>
  <c r="AU32" i="2"/>
  <c r="AI57" i="1"/>
  <c r="AT24" i="8"/>
  <c r="AS24" i="8"/>
  <c r="AT9" i="7"/>
  <c r="AS9" i="7"/>
  <c r="AS23" i="7"/>
  <c r="AS34" i="7" s="1"/>
  <c r="AT4" i="7"/>
  <c r="AT25" i="7"/>
  <c r="AT23" i="7"/>
  <c r="AT22" i="7"/>
  <c r="AT21" i="7"/>
  <c r="AT20" i="7"/>
  <c r="AT19" i="7"/>
  <c r="AT16" i="7"/>
  <c r="AT14" i="7"/>
  <c r="AT13" i="7"/>
  <c r="AT12" i="7"/>
  <c r="AT8" i="7"/>
  <c r="AT7" i="7"/>
  <c r="AT6" i="7"/>
  <c r="AT5" i="7"/>
  <c r="AS25" i="7"/>
  <c r="AR25" i="7"/>
  <c r="AR32" i="7" s="1"/>
  <c r="AS22" i="7"/>
  <c r="AS21" i="7"/>
  <c r="AS20" i="7"/>
  <c r="AS19" i="7"/>
  <c r="AS14" i="7"/>
  <c r="AS13" i="7"/>
  <c r="AS12" i="7"/>
  <c r="AS7" i="7"/>
  <c r="AS6" i="7"/>
  <c r="AS5" i="7"/>
  <c r="AS27" i="6"/>
  <c r="AS24" i="7" s="1"/>
  <c r="AS33" i="7" s="1"/>
  <c r="AT33" i="7" s="1"/>
  <c r="AS16" i="6"/>
  <c r="AT18" i="3"/>
  <c r="AS18" i="3"/>
  <c r="AR18" i="3"/>
  <c r="AT5" i="3"/>
  <c r="AT8" i="6"/>
  <c r="AT7" i="9" s="1"/>
  <c r="AS8" i="6"/>
  <c r="AS7" i="9" s="1"/>
  <c r="K12" i="5"/>
  <c r="K14" i="12" s="1"/>
  <c r="AT39" i="3"/>
  <c r="AK12" i="11"/>
  <c r="J38" i="12"/>
  <c r="J40" i="12" s="1"/>
  <c r="AS19" i="9"/>
  <c r="AS18" i="9"/>
  <c r="AT42" i="8"/>
  <c r="AS42" i="8"/>
  <c r="AT41" i="8"/>
  <c r="AS41" i="8"/>
  <c r="AT40" i="8"/>
  <c r="AS40" i="8"/>
  <c r="AT39" i="8"/>
  <c r="AS39" i="8"/>
  <c r="AT35" i="8"/>
  <c r="AS35" i="8"/>
  <c r="AT34" i="8"/>
  <c r="AS34" i="8"/>
  <c r="AS31" i="8"/>
  <c r="AT30" i="8"/>
  <c r="AT31" i="8" s="1"/>
  <c r="AT26" i="8"/>
  <c r="AS26" i="8"/>
  <c r="AT20" i="8"/>
  <c r="AS20" i="8"/>
  <c r="AT19" i="8"/>
  <c r="AS19" i="8"/>
  <c r="AT18" i="8"/>
  <c r="AS18" i="8"/>
  <c r="AT17" i="8"/>
  <c r="AS17" i="8"/>
  <c r="AT13" i="8"/>
  <c r="AS13" i="8"/>
  <c r="AT12" i="8"/>
  <c r="AS12" i="8"/>
  <c r="AT11" i="8"/>
  <c r="AS11" i="8"/>
  <c r="AT7" i="8"/>
  <c r="AS7" i="8"/>
  <c r="AT6" i="8"/>
  <c r="AS6" i="8"/>
  <c r="AT5" i="8"/>
  <c r="AS5" i="8"/>
  <c r="AT29" i="6"/>
  <c r="AT12" i="9" s="1"/>
  <c r="AS29" i="6"/>
  <c r="AS12" i="9" s="1"/>
  <c r="AT27" i="6"/>
  <c r="AT24" i="7" s="1"/>
  <c r="AT24" i="6"/>
  <c r="AT11" i="9" s="1"/>
  <c r="AS24" i="6"/>
  <c r="AS11" i="9" s="1"/>
  <c r="AT21" i="6"/>
  <c r="AT9" i="9" s="1"/>
  <c r="AS21" i="6"/>
  <c r="AT16" i="6"/>
  <c r="AT12" i="6"/>
  <c r="AS12" i="6"/>
  <c r="AT7" i="6"/>
  <c r="AS7" i="6"/>
  <c r="AT18" i="7"/>
  <c r="AS18" i="7"/>
  <c r="AT15" i="7"/>
  <c r="AT11" i="7"/>
  <c r="AS11" i="7"/>
  <c r="AS4" i="7"/>
  <c r="K16" i="5"/>
  <c r="K17" i="5"/>
  <c r="K23" i="12" s="1"/>
  <c r="J12" i="12"/>
  <c r="K11" i="5"/>
  <c r="K5" i="5"/>
  <c r="J5" i="5"/>
  <c r="AT5" i="4"/>
  <c r="AS7" i="4"/>
  <c r="AS5" i="4"/>
  <c r="AS41" i="3"/>
  <c r="AT38" i="3"/>
  <c r="AT26" i="3"/>
  <c r="AT27" i="3"/>
  <c r="AT32" i="3"/>
  <c r="AT40" i="3"/>
  <c r="AT36" i="3"/>
  <c r="AT35" i="3"/>
  <c r="AT34" i="3"/>
  <c r="AT17" i="2"/>
  <c r="AS17" i="2"/>
  <c r="AH54" i="1"/>
  <c r="AH56" i="1" s="1"/>
  <c r="AH45" i="1"/>
  <c r="AH38" i="1"/>
  <c r="AH25" i="1"/>
  <c r="AR9" i="7"/>
  <c r="I38" i="12"/>
  <c r="AR19" i="9"/>
  <c r="AR18" i="9"/>
  <c r="AR23" i="7"/>
  <c r="AR22" i="7"/>
  <c r="AR21" i="7"/>
  <c r="AR20" i="7"/>
  <c r="AR19" i="7"/>
  <c r="AR16" i="7"/>
  <c r="AR14" i="7"/>
  <c r="AR13" i="7"/>
  <c r="AR12" i="7"/>
  <c r="AR8" i="7"/>
  <c r="AR7" i="7"/>
  <c r="AR6" i="7"/>
  <c r="AR5" i="7"/>
  <c r="AR33" i="3"/>
  <c r="AQ17" i="2"/>
  <c r="AR17" i="2"/>
  <c r="K22" i="12" l="1"/>
  <c r="K18" i="5"/>
  <c r="K21" i="12" s="1"/>
  <c r="K13" i="12"/>
  <c r="K13" i="5"/>
  <c r="AU15" i="9"/>
  <c r="AU23" i="9" s="1"/>
  <c r="AU35" i="7"/>
  <c r="AU35" i="6"/>
  <c r="AU43" i="3"/>
  <c r="L36" i="12"/>
  <c r="AU4" i="4"/>
  <c r="AU8" i="4" s="1"/>
  <c r="AK14" i="11"/>
  <c r="AL4" i="11"/>
  <c r="AL6" i="11" s="1"/>
  <c r="AL8" i="11" s="1"/>
  <c r="AS27" i="8"/>
  <c r="AT36" i="8"/>
  <c r="AS14" i="8"/>
  <c r="AT28" i="7"/>
  <c r="AS11" i="2"/>
  <c r="AS18" i="2" s="1"/>
  <c r="AS20" i="2" s="1"/>
  <c r="AS22" i="2" s="1"/>
  <c r="AS24" i="2" s="1"/>
  <c r="AS43" i="8"/>
  <c r="AS8" i="8"/>
  <c r="AT8" i="8"/>
  <c r="AT14" i="8"/>
  <c r="AT43" i="8"/>
  <c r="AT21" i="8"/>
  <c r="AT27" i="8"/>
  <c r="AR31" i="7"/>
  <c r="AT34" i="7"/>
  <c r="AS10" i="7"/>
  <c r="AS17" i="7"/>
  <c r="AT7" i="4"/>
  <c r="AS9" i="9"/>
  <c r="AS14" i="9" s="1"/>
  <c r="AS26" i="7"/>
  <c r="AS31" i="7"/>
  <c r="AT31" i="7"/>
  <c r="AS29" i="7"/>
  <c r="AS36" i="8"/>
  <c r="AS21" i="8"/>
  <c r="AT14" i="9"/>
  <c r="AT34" i="6"/>
  <c r="K12" i="12"/>
  <c r="AS34" i="6"/>
  <c r="AT30" i="7"/>
  <c r="AT10" i="7"/>
  <c r="AS30" i="7"/>
  <c r="AS28" i="7"/>
  <c r="AT26" i="7"/>
  <c r="AT29" i="7"/>
  <c r="AT17" i="7"/>
  <c r="AT27" i="7"/>
  <c r="AS27" i="7"/>
  <c r="J30" i="12"/>
  <c r="AT41" i="3"/>
  <c r="AH46" i="1"/>
  <c r="AH57" i="1" s="1"/>
  <c r="AJ12" i="11"/>
  <c r="AJ14" i="11" s="1"/>
  <c r="I40" i="12"/>
  <c r="I19" i="12"/>
  <c r="I28" i="12" s="1"/>
  <c r="I18" i="12"/>
  <c r="I27" i="12" s="1"/>
  <c r="I17" i="12"/>
  <c r="I26" i="12" s="1"/>
  <c r="AR42" i="8"/>
  <c r="AR41" i="8"/>
  <c r="AR40" i="8"/>
  <c r="AR39" i="8"/>
  <c r="AR35" i="8"/>
  <c r="AR34" i="8"/>
  <c r="AR31" i="8"/>
  <c r="AR26" i="8"/>
  <c r="AR27" i="8" s="1"/>
  <c r="AR20" i="8"/>
  <c r="AR19" i="8"/>
  <c r="AR18" i="8"/>
  <c r="AR17" i="8"/>
  <c r="AR13" i="8"/>
  <c r="AR12" i="8"/>
  <c r="AR11" i="8"/>
  <c r="AR7" i="8"/>
  <c r="AR6" i="8"/>
  <c r="AR5" i="8"/>
  <c r="AR29" i="6"/>
  <c r="AR12" i="9" s="1"/>
  <c r="AR27" i="6"/>
  <c r="AR24" i="6"/>
  <c r="AR11" i="9" s="1"/>
  <c r="AR21" i="6"/>
  <c r="AR9" i="9" s="1"/>
  <c r="AR16" i="6"/>
  <c r="AR12" i="6"/>
  <c r="AR8" i="6"/>
  <c r="AR7" i="9" s="1"/>
  <c r="AR7" i="6"/>
  <c r="AR18" i="7"/>
  <c r="AR11" i="7"/>
  <c r="AR17" i="7" s="1"/>
  <c r="AR30" i="7"/>
  <c r="AR29" i="7"/>
  <c r="AR28" i="7"/>
  <c r="AR4" i="7"/>
  <c r="I21" i="12"/>
  <c r="I12" i="12"/>
  <c r="I5" i="5"/>
  <c r="AR7" i="4"/>
  <c r="AR5" i="4"/>
  <c r="AR41" i="3"/>
  <c r="AR5" i="3"/>
  <c r="AG54" i="1"/>
  <c r="AG56" i="1" s="1"/>
  <c r="AG45" i="1"/>
  <c r="AG38" i="1"/>
  <c r="AG46" i="1" s="1"/>
  <c r="AG25" i="1"/>
  <c r="AG15" i="1"/>
  <c r="AI12" i="11"/>
  <c r="AQ29" i="2"/>
  <c r="AL29" i="2"/>
  <c r="AP29" i="2"/>
  <c r="AQ9" i="7"/>
  <c r="AQ31" i="7" s="1"/>
  <c r="AU22" i="9" l="1"/>
  <c r="J4" i="5"/>
  <c r="J6" i="5" s="1"/>
  <c r="AR11" i="2"/>
  <c r="AR18" i="2" s="1"/>
  <c r="AR20" i="2" s="1"/>
  <c r="AR22" i="2" s="1"/>
  <c r="AR4" i="3" s="1"/>
  <c r="AR25" i="3" s="1"/>
  <c r="AS4" i="6"/>
  <c r="AS35" i="6" s="1"/>
  <c r="AS35" i="7"/>
  <c r="AT35" i="7"/>
  <c r="AS4" i="3"/>
  <c r="AS25" i="3" s="1"/>
  <c r="AS4" i="4" s="1"/>
  <c r="AS8" i="4" s="1"/>
  <c r="AS5" i="9"/>
  <c r="AR36" i="8"/>
  <c r="AR26" i="7"/>
  <c r="K30" i="12"/>
  <c r="AG26" i="1"/>
  <c r="I25" i="12"/>
  <c r="AR34" i="6"/>
  <c r="AR43" i="8"/>
  <c r="AR21" i="8"/>
  <c r="AR14" i="8"/>
  <c r="AR14" i="9"/>
  <c r="AR8" i="8"/>
  <c r="AG57" i="1"/>
  <c r="I16" i="12"/>
  <c r="AR34" i="7"/>
  <c r="AR27" i="7"/>
  <c r="AR10" i="7"/>
  <c r="I30" i="12"/>
  <c r="AQ23" i="7"/>
  <c r="AQ21" i="7"/>
  <c r="AQ20" i="7"/>
  <c r="AQ19" i="7"/>
  <c r="AQ16" i="7"/>
  <c r="AQ14" i="7"/>
  <c r="AQ13" i="7"/>
  <c r="AQ12" i="7"/>
  <c r="AQ8" i="7"/>
  <c r="AQ7" i="7"/>
  <c r="AQ6" i="7"/>
  <c r="AQ5" i="7"/>
  <c r="H38" i="12"/>
  <c r="H40" i="12" s="1"/>
  <c r="AQ29" i="6"/>
  <c r="AQ12" i="9" s="1"/>
  <c r="AQ6" i="6"/>
  <c r="AQ4" i="7"/>
  <c r="H12" i="12"/>
  <c r="AQ18" i="3"/>
  <c r="AI14" i="11"/>
  <c r="H19" i="12"/>
  <c r="H28" i="12" s="1"/>
  <c r="H18" i="12"/>
  <c r="H27" i="12" s="1"/>
  <c r="H17" i="12"/>
  <c r="H26" i="12" s="1"/>
  <c r="AQ18" i="9"/>
  <c r="AQ42" i="8"/>
  <c r="AQ41" i="8"/>
  <c r="AQ40" i="8"/>
  <c r="AQ39" i="8"/>
  <c r="AQ35" i="8"/>
  <c r="AQ34" i="8"/>
  <c r="AQ31" i="8"/>
  <c r="AQ26" i="8"/>
  <c r="AQ27" i="8" s="1"/>
  <c r="AQ20" i="8"/>
  <c r="AQ19" i="8"/>
  <c r="AQ18" i="8"/>
  <c r="AQ17" i="8"/>
  <c r="AQ13" i="8"/>
  <c r="AQ12" i="8"/>
  <c r="AQ11" i="8"/>
  <c r="AQ7" i="8"/>
  <c r="AQ6" i="8"/>
  <c r="AQ5" i="8"/>
  <c r="AQ27" i="6"/>
  <c r="AQ24" i="6"/>
  <c r="AQ11" i="9" s="1"/>
  <c r="AQ21" i="6"/>
  <c r="AQ9" i="9" s="1"/>
  <c r="AQ16" i="6"/>
  <c r="AQ12" i="6"/>
  <c r="AQ8" i="6"/>
  <c r="AQ7" i="9" s="1"/>
  <c r="AQ7" i="6"/>
  <c r="AQ18" i="7"/>
  <c r="AQ11" i="7"/>
  <c r="H21" i="12"/>
  <c r="H5" i="5"/>
  <c r="AQ7" i="4"/>
  <c r="AQ5" i="4"/>
  <c r="AQ41" i="3"/>
  <c r="AQ33" i="3"/>
  <c r="AQ5" i="3"/>
  <c r="AF54" i="1"/>
  <c r="AF56" i="1" s="1"/>
  <c r="AF45" i="1"/>
  <c r="AF38" i="1"/>
  <c r="AF25" i="1"/>
  <c r="AP9" i="7"/>
  <c r="AF46" i="1" l="1"/>
  <c r="I4" i="5"/>
  <c r="I6" i="5" s="1"/>
  <c r="AT11" i="2"/>
  <c r="AS15" i="9"/>
  <c r="AS23" i="9" s="1"/>
  <c r="J36" i="12"/>
  <c r="AS43" i="3"/>
  <c r="AS33" i="2"/>
  <c r="AS32" i="2"/>
  <c r="AQ14" i="9"/>
  <c r="AQ34" i="7"/>
  <c r="AQ34" i="6"/>
  <c r="AR43" i="3"/>
  <c r="I36" i="12"/>
  <c r="AR35" i="7"/>
  <c r="AR4" i="6"/>
  <c r="AR35" i="6" s="1"/>
  <c r="AR5" i="9"/>
  <c r="AR15" i="9" s="1"/>
  <c r="AQ30" i="7"/>
  <c r="AR24" i="2"/>
  <c r="AQ11" i="2"/>
  <c r="H4" i="5" s="1"/>
  <c r="AQ27" i="7"/>
  <c r="AQ26" i="7"/>
  <c r="AQ28" i="7"/>
  <c r="AQ43" i="8"/>
  <c r="AQ36" i="8"/>
  <c r="AQ21" i="8"/>
  <c r="AQ14" i="8"/>
  <c r="AQ8" i="8"/>
  <c r="H25" i="12"/>
  <c r="H16" i="12"/>
  <c r="AQ10" i="7"/>
  <c r="AQ17" i="7"/>
  <c r="AQ29" i="7"/>
  <c r="AF57" i="1"/>
  <c r="AP29" i="3"/>
  <c r="AH12" i="11"/>
  <c r="AH14" i="11" s="1"/>
  <c r="AP23" i="7"/>
  <c r="AP22" i="7"/>
  <c r="AP21" i="7"/>
  <c r="AP20" i="7"/>
  <c r="AP19" i="7"/>
  <c r="AP16" i="7"/>
  <c r="AP14" i="7"/>
  <c r="AP13" i="7"/>
  <c r="AP12" i="7"/>
  <c r="AP8" i="7"/>
  <c r="AP7" i="7"/>
  <c r="AP6" i="7"/>
  <c r="AP5" i="7"/>
  <c r="AT18" i="2" l="1"/>
  <c r="AT20" i="2" s="1"/>
  <c r="AT22" i="2" s="1"/>
  <c r="K4" i="5"/>
  <c r="K6" i="5" s="1"/>
  <c r="AP31" i="7"/>
  <c r="H6" i="5"/>
  <c r="AT29" i="3"/>
  <c r="AT33" i="3" s="1"/>
  <c r="AR32" i="2"/>
  <c r="AS22" i="9"/>
  <c r="AR23" i="9"/>
  <c r="AR22" i="9"/>
  <c r="AR4" i="4"/>
  <c r="AR8" i="4" s="1"/>
  <c r="AR33" i="2"/>
  <c r="AQ18" i="2"/>
  <c r="AQ20" i="2" s="1"/>
  <c r="AQ22" i="2" s="1"/>
  <c r="AQ4" i="6" s="1"/>
  <c r="AQ35" i="6" s="1"/>
  <c r="AQ35" i="7"/>
  <c r="AP26" i="8"/>
  <c r="AP21" i="6"/>
  <c r="AP9" i="9" s="1"/>
  <c r="G21" i="12"/>
  <c r="G6" i="5"/>
  <c r="G12" i="12"/>
  <c r="AP33" i="3"/>
  <c r="AP18" i="3"/>
  <c r="G38" i="12"/>
  <c r="G40" i="12" s="1"/>
  <c r="G19" i="12"/>
  <c r="G28" i="12" s="1"/>
  <c r="G18" i="12"/>
  <c r="G27" i="12" s="1"/>
  <c r="G17" i="12"/>
  <c r="G26" i="12" s="1"/>
  <c r="AP42" i="8"/>
  <c r="AP41" i="8"/>
  <c r="AP40" i="8"/>
  <c r="AP39" i="8"/>
  <c r="AP35" i="8"/>
  <c r="AP34" i="8"/>
  <c r="AP20" i="8"/>
  <c r="AP19" i="8"/>
  <c r="AP18" i="8"/>
  <c r="AP17" i="8"/>
  <c r="AP13" i="8"/>
  <c r="AP12" i="8"/>
  <c r="AP11" i="8"/>
  <c r="AP7" i="8"/>
  <c r="AP6" i="8"/>
  <c r="AP5" i="8"/>
  <c r="AP29" i="6"/>
  <c r="AP12" i="9" s="1"/>
  <c r="AP24" i="6"/>
  <c r="AP11" i="9" s="1"/>
  <c r="AP16" i="6"/>
  <c r="AP12" i="6"/>
  <c r="AP8" i="6"/>
  <c r="AP7" i="6"/>
  <c r="AP18" i="7"/>
  <c r="AP34" i="7"/>
  <c r="AP11" i="7"/>
  <c r="AP29" i="7"/>
  <c r="AP28" i="7"/>
  <c r="AP4" i="7"/>
  <c r="AP7" i="4"/>
  <c r="AY7" i="4" s="1"/>
  <c r="AP5" i="4"/>
  <c r="AY5" i="4" s="1"/>
  <c r="AP41" i="3"/>
  <c r="AP5" i="3"/>
  <c r="AP17" i="2"/>
  <c r="AE54" i="1"/>
  <c r="AE56" i="1" s="1"/>
  <c r="AE45" i="1"/>
  <c r="AE38" i="1"/>
  <c r="AE25" i="1"/>
  <c r="AD25" i="1"/>
  <c r="AN22" i="7"/>
  <c r="AN31" i="7" s="1"/>
  <c r="AL41" i="3"/>
  <c r="AK41" i="3"/>
  <c r="D21" i="12"/>
  <c r="E21" i="12"/>
  <c r="AO15" i="7"/>
  <c r="AO33" i="7"/>
  <c r="AO22" i="7"/>
  <c r="AO23" i="7"/>
  <c r="AO25" i="7"/>
  <c r="AO21" i="7"/>
  <c r="AO20" i="7"/>
  <c r="AO19" i="7"/>
  <c r="AO16" i="7"/>
  <c r="AO14" i="7"/>
  <c r="AO13" i="7"/>
  <c r="AO12" i="7"/>
  <c r="AO9" i="7"/>
  <c r="AO8" i="7"/>
  <c r="AO7" i="7"/>
  <c r="AO6" i="7"/>
  <c r="AO5" i="7"/>
  <c r="AN25" i="7"/>
  <c r="AN21" i="7"/>
  <c r="AN20" i="7"/>
  <c r="AN19" i="7"/>
  <c r="AN16" i="7"/>
  <c r="AN14" i="7"/>
  <c r="AN13" i="7"/>
  <c r="AN12" i="7"/>
  <c r="AN9" i="7"/>
  <c r="AN8" i="7"/>
  <c r="AN7" i="7"/>
  <c r="AN6" i="7"/>
  <c r="AN5" i="7"/>
  <c r="E38" i="12"/>
  <c r="E40" i="12" s="1"/>
  <c r="AD15" i="1"/>
  <c r="AO30" i="8"/>
  <c r="AO31" i="8" s="1"/>
  <c r="AN31" i="8"/>
  <c r="AN26" i="8"/>
  <c r="AN27" i="8" s="1"/>
  <c r="AO39" i="8"/>
  <c r="AN29" i="6"/>
  <c r="AN12" i="9" s="1"/>
  <c r="AO27" i="6"/>
  <c r="AN27" i="6"/>
  <c r="AO21" i="6"/>
  <c r="AO9" i="9" s="1"/>
  <c r="AN21" i="6"/>
  <c r="AN9" i="9" s="1"/>
  <c r="AJ21" i="6"/>
  <c r="AN7" i="6"/>
  <c r="AM7" i="6"/>
  <c r="AM6" i="6"/>
  <c r="E12" i="12"/>
  <c r="F17" i="5"/>
  <c r="F23" i="12" s="1"/>
  <c r="F11" i="5"/>
  <c r="F12" i="5"/>
  <c r="F14" i="12" s="1"/>
  <c r="AO42" i="3"/>
  <c r="AO38" i="3"/>
  <c r="AN41" i="3"/>
  <c r="AN5" i="3"/>
  <c r="AN18" i="3"/>
  <c r="AG12" i="11"/>
  <c r="AG14" i="11" s="1"/>
  <c r="AN19" i="9"/>
  <c r="AN18" i="9"/>
  <c r="AO42" i="8"/>
  <c r="AN42" i="8"/>
  <c r="AO41" i="8"/>
  <c r="AN41" i="8"/>
  <c r="AO40" i="8"/>
  <c r="AN40" i="8"/>
  <c r="AN39" i="8"/>
  <c r="AO35" i="8"/>
  <c r="AN35" i="8"/>
  <c r="AO34" i="8"/>
  <c r="AN34" i="8"/>
  <c r="AO26" i="8"/>
  <c r="AO27" i="8" s="1"/>
  <c r="AO20" i="8"/>
  <c r="AN20" i="8"/>
  <c r="AO19" i="8"/>
  <c r="AN19" i="8"/>
  <c r="AO18" i="8"/>
  <c r="AN18" i="8"/>
  <c r="AO17" i="8"/>
  <c r="AN17" i="8"/>
  <c r="AO13" i="8"/>
  <c r="AN13" i="8"/>
  <c r="AO12" i="8"/>
  <c r="AN12" i="8"/>
  <c r="AO11" i="8"/>
  <c r="AN11" i="8"/>
  <c r="AO7" i="8"/>
  <c r="AN7" i="8"/>
  <c r="AO6" i="8"/>
  <c r="AN6" i="8"/>
  <c r="AO5" i="8"/>
  <c r="AN5" i="8"/>
  <c r="AO29" i="6"/>
  <c r="AO24" i="6"/>
  <c r="AO11" i="9" s="1"/>
  <c r="AN24" i="6"/>
  <c r="AN11" i="9" s="1"/>
  <c r="AO16" i="6"/>
  <c r="AN16" i="6"/>
  <c r="AO12" i="6"/>
  <c r="AN12" i="6"/>
  <c r="AO8" i="6"/>
  <c r="AO7" i="9" s="1"/>
  <c r="AN8" i="6"/>
  <c r="AN7" i="9" s="1"/>
  <c r="AO7" i="6"/>
  <c r="AO18" i="7"/>
  <c r="AN18" i="7"/>
  <c r="AO11" i="7"/>
  <c r="AN11" i="7"/>
  <c r="AO4" i="7"/>
  <c r="AN4" i="7"/>
  <c r="F16" i="5"/>
  <c r="F5" i="5"/>
  <c r="E5" i="5"/>
  <c r="AN7" i="4"/>
  <c r="AN5" i="4"/>
  <c r="AO26" i="3"/>
  <c r="AO5" i="4" s="1"/>
  <c r="AO36" i="3"/>
  <c r="AO35" i="3"/>
  <c r="AO34" i="3"/>
  <c r="AN33" i="3"/>
  <c r="AO32" i="3"/>
  <c r="AO27" i="3"/>
  <c r="AO7" i="4" s="1"/>
  <c r="AO18" i="3"/>
  <c r="AO5" i="3"/>
  <c r="AO17" i="2"/>
  <c r="AN17" i="2"/>
  <c r="AD45" i="1"/>
  <c r="AD38" i="1"/>
  <c r="AF12" i="11"/>
  <c r="AF14" i="11" s="1"/>
  <c r="AC53" i="1"/>
  <c r="AC50" i="1"/>
  <c r="AM21" i="3"/>
  <c r="AM40" i="3"/>
  <c r="AO40" i="3" s="1"/>
  <c r="AM29" i="3"/>
  <c r="AO29" i="3" s="1"/>
  <c r="D38" i="12"/>
  <c r="D40" i="12" s="1"/>
  <c r="AM31" i="8"/>
  <c r="AM27" i="6"/>
  <c r="F22" i="12" l="1"/>
  <c r="F18" i="5"/>
  <c r="F21" i="12" s="1"/>
  <c r="F13" i="12"/>
  <c r="F13" i="5"/>
  <c r="F12" i="12" s="1"/>
  <c r="AP27" i="8"/>
  <c r="AT24" i="2"/>
  <c r="AT4" i="3"/>
  <c r="AT25" i="3" s="1"/>
  <c r="AT4" i="4" s="1"/>
  <c r="AT8" i="4" s="1"/>
  <c r="AT5" i="9"/>
  <c r="AT15" i="9" s="1"/>
  <c r="AT4" i="6"/>
  <c r="AT35" i="6" s="1"/>
  <c r="AP11" i="2"/>
  <c r="AP18" i="2" s="1"/>
  <c r="AP20" i="2" s="1"/>
  <c r="AP22" i="2" s="1"/>
  <c r="AP4" i="6" s="1"/>
  <c r="AP17" i="7"/>
  <c r="AP34" i="6"/>
  <c r="AQ4" i="3"/>
  <c r="AQ25" i="3" s="1"/>
  <c r="H36" i="12" s="1"/>
  <c r="AQ24" i="2"/>
  <c r="AQ32" i="2" s="1"/>
  <c r="AQ5" i="9"/>
  <c r="AQ15" i="9" s="1"/>
  <c r="AQ22" i="9" s="1"/>
  <c r="G30" i="12"/>
  <c r="AE46" i="1"/>
  <c r="AE57" i="1" s="1"/>
  <c r="AD54" i="1"/>
  <c r="AD56" i="1" s="1"/>
  <c r="G16" i="12"/>
  <c r="AP27" i="7"/>
  <c r="AP7" i="9"/>
  <c r="AP14" i="8"/>
  <c r="AP36" i="8"/>
  <c r="AP43" i="8"/>
  <c r="AP21" i="8"/>
  <c r="AP8" i="8"/>
  <c r="AO33" i="3"/>
  <c r="AH4" i="11"/>
  <c r="G25" i="12"/>
  <c r="AN8" i="8"/>
  <c r="AP30" i="7"/>
  <c r="AP26" i="7"/>
  <c r="AP10" i="7"/>
  <c r="E30" i="12"/>
  <c r="AO34" i="7"/>
  <c r="AN36" i="8"/>
  <c r="AN34" i="7"/>
  <c r="AO29" i="7"/>
  <c r="AO31" i="7"/>
  <c r="AN14" i="8"/>
  <c r="AO36" i="8"/>
  <c r="AO28" i="7"/>
  <c r="AM41" i="3"/>
  <c r="AO8" i="8"/>
  <c r="AO14" i="8"/>
  <c r="AN34" i="6"/>
  <c r="AN26" i="7"/>
  <c r="AN11" i="2"/>
  <c r="E4" i="5" s="1"/>
  <c r="E6" i="5" s="1"/>
  <c r="AO43" i="8"/>
  <c r="AO34" i="6"/>
  <c r="AO12" i="9"/>
  <c r="AO14" i="9" s="1"/>
  <c r="AN43" i="8"/>
  <c r="AN14" i="9"/>
  <c r="AO21" i="8"/>
  <c r="AN21" i="8"/>
  <c r="AN17" i="7"/>
  <c r="AO30" i="7"/>
  <c r="AO10" i="7"/>
  <c r="AN28" i="7"/>
  <c r="AN32" i="7"/>
  <c r="AN10" i="7"/>
  <c r="AN29" i="7"/>
  <c r="AO32" i="7"/>
  <c r="AO17" i="7"/>
  <c r="AN30" i="7"/>
  <c r="AO26" i="7"/>
  <c r="AO27" i="7"/>
  <c r="AN27" i="7"/>
  <c r="AD46" i="1"/>
  <c r="AM42" i="8"/>
  <c r="D12" i="12"/>
  <c r="AC15" i="1"/>
  <c r="AC38" i="1"/>
  <c r="AC25" i="1"/>
  <c r="AM24" i="6"/>
  <c r="AM21" i="6"/>
  <c r="AT43" i="3" l="1"/>
  <c r="AQ33" i="2"/>
  <c r="AP14" i="9"/>
  <c r="AQ43" i="3"/>
  <c r="AQ4" i="4"/>
  <c r="AQ8" i="4" s="1"/>
  <c r="AP35" i="7"/>
  <c r="AQ23" i="9"/>
  <c r="AD57" i="1"/>
  <c r="AH6" i="11"/>
  <c r="AH8" i="11" s="1"/>
  <c r="AI4" i="11"/>
  <c r="AP24" i="2"/>
  <c r="AP5" i="9"/>
  <c r="AP35" i="6"/>
  <c r="AP4" i="3"/>
  <c r="AO11" i="2"/>
  <c r="AN35" i="7"/>
  <c r="AN18" i="2"/>
  <c r="AN20" i="2" s="1"/>
  <c r="AN22" i="2" s="1"/>
  <c r="AN4" i="3" s="1"/>
  <c r="AN25" i="3" s="1"/>
  <c r="E36" i="12" s="1"/>
  <c r="AO35" i="7"/>
  <c r="AC26" i="1"/>
  <c r="AC54" i="1"/>
  <c r="AC56" i="1" s="1"/>
  <c r="AC45" i="1"/>
  <c r="AC46" i="1" s="1"/>
  <c r="AP15" i="9" l="1"/>
  <c r="AP23" i="9" s="1"/>
  <c r="AP25" i="3"/>
  <c r="AI6" i="11"/>
  <c r="AI8" i="11" s="1"/>
  <c r="AJ4" i="11"/>
  <c r="AP32" i="2"/>
  <c r="AP33" i="2"/>
  <c r="F4" i="5"/>
  <c r="F6" i="5" s="1"/>
  <c r="AO18" i="2"/>
  <c r="AN24" i="2"/>
  <c r="AN33" i="2" s="1"/>
  <c r="AN5" i="9"/>
  <c r="AN15" i="9" s="1"/>
  <c r="AN23" i="9" s="1"/>
  <c r="AN4" i="6"/>
  <c r="AN35" i="6" s="1"/>
  <c r="AN4" i="4"/>
  <c r="AN8" i="4" s="1"/>
  <c r="AN43" i="3"/>
  <c r="AC57" i="1"/>
  <c r="D19" i="12"/>
  <c r="D28" i="12" s="1"/>
  <c r="D18" i="12"/>
  <c r="D27" i="12" s="1"/>
  <c r="D17" i="12"/>
  <c r="D26" i="12" s="1"/>
  <c r="AM11" i="9"/>
  <c r="AM41" i="8"/>
  <c r="AM40" i="8"/>
  <c r="AM39" i="8"/>
  <c r="AM35" i="8"/>
  <c r="AM34" i="8"/>
  <c r="AM26" i="8"/>
  <c r="AM27" i="8" s="1"/>
  <c r="AM20" i="8"/>
  <c r="AM19" i="8"/>
  <c r="AM18" i="8"/>
  <c r="AM17" i="8"/>
  <c r="AM13" i="8"/>
  <c r="AM12" i="8"/>
  <c r="AM11" i="8"/>
  <c r="AM7" i="8"/>
  <c r="AM6" i="8"/>
  <c r="AM5" i="8"/>
  <c r="AM25" i="7"/>
  <c r="AM23" i="7"/>
  <c r="AM22" i="7"/>
  <c r="AM31" i="7" s="1"/>
  <c r="AM21" i="7"/>
  <c r="AM20" i="7"/>
  <c r="AM19" i="7"/>
  <c r="AM18" i="7"/>
  <c r="AM16" i="7"/>
  <c r="AM14" i="7"/>
  <c r="AM13" i="7"/>
  <c r="AM12" i="7"/>
  <c r="AM11" i="7"/>
  <c r="AM9" i="7"/>
  <c r="AM8" i="7"/>
  <c r="AM7" i="7"/>
  <c r="AM6" i="7"/>
  <c r="AM5" i="7"/>
  <c r="AM4" i="7"/>
  <c r="AM29" i="6"/>
  <c r="AM12" i="9" s="1"/>
  <c r="AM9" i="9"/>
  <c r="AM16" i="6"/>
  <c r="AM12" i="6"/>
  <c r="AM8" i="6"/>
  <c r="AM7" i="9" s="1"/>
  <c r="D5" i="5"/>
  <c r="AM7" i="4"/>
  <c r="AM5" i="4"/>
  <c r="AM5" i="3"/>
  <c r="AM33" i="3"/>
  <c r="AM18" i="3"/>
  <c r="AM17" i="2"/>
  <c r="AL31" i="8"/>
  <c r="AL27" i="6"/>
  <c r="AL5" i="3"/>
  <c r="AL17" i="2"/>
  <c r="AB54" i="1"/>
  <c r="AB56" i="1" s="1"/>
  <c r="AB45" i="1"/>
  <c r="AB38" i="1"/>
  <c r="AB25" i="1"/>
  <c r="AL31" i="7"/>
  <c r="AL21" i="6"/>
  <c r="AL9" i="9" s="1"/>
  <c r="AP22" i="9" l="1"/>
  <c r="AP4" i="4"/>
  <c r="AP8" i="4" s="1"/>
  <c r="AY8" i="4" s="1"/>
  <c r="AP43" i="3"/>
  <c r="G36" i="12"/>
  <c r="AJ6" i="11"/>
  <c r="AJ8" i="11" s="1"/>
  <c r="AK4" i="11"/>
  <c r="AK6" i="11" s="1"/>
  <c r="AM34" i="6"/>
  <c r="AB46" i="1"/>
  <c r="AB57" i="1" s="1"/>
  <c r="AM34" i="7"/>
  <c r="D30" i="12"/>
  <c r="AN32" i="2"/>
  <c r="AN22" i="9"/>
  <c r="AO20" i="2"/>
  <c r="AO22" i="2" s="1"/>
  <c r="AO4" i="6" s="1"/>
  <c r="AM17" i="7"/>
  <c r="AM8" i="8"/>
  <c r="AM21" i="8"/>
  <c r="AM27" i="7"/>
  <c r="AM26" i="7"/>
  <c r="AM28" i="7"/>
  <c r="AM29" i="7"/>
  <c r="AM14" i="8"/>
  <c r="AM36" i="8"/>
  <c r="D25" i="12"/>
  <c r="AM11" i="2"/>
  <c r="AM18" i="2" s="1"/>
  <c r="AM20" i="2" s="1"/>
  <c r="AM22" i="2" s="1"/>
  <c r="AM5" i="9" s="1"/>
  <c r="AM43" i="8"/>
  <c r="AM14" i="9"/>
  <c r="AM30" i="7"/>
  <c r="AM10" i="7"/>
  <c r="D16" i="12"/>
  <c r="AM32" i="7"/>
  <c r="AL18" i="3"/>
  <c r="AE12" i="11"/>
  <c r="AE14" i="11" s="1"/>
  <c r="AL6" i="6"/>
  <c r="AT28" i="2" l="1"/>
  <c r="AK8" i="11"/>
  <c r="AT29" i="2" s="1"/>
  <c r="AY4" i="4"/>
  <c r="AO4" i="3"/>
  <c r="AO25" i="3" s="1"/>
  <c r="AO4" i="4" s="1"/>
  <c r="AO8" i="4" s="1"/>
  <c r="AO35" i="6"/>
  <c r="AO5" i="9"/>
  <c r="AO15" i="9" s="1"/>
  <c r="AO24" i="2"/>
  <c r="AM35" i="7"/>
  <c r="D4" i="5"/>
  <c r="D6" i="5" s="1"/>
  <c r="AM15" i="9"/>
  <c r="AM24" i="2"/>
  <c r="AM4" i="3"/>
  <c r="AM25" i="3" s="1"/>
  <c r="AM4" i="6"/>
  <c r="AM35" i="6" s="1"/>
  <c r="C38" i="12"/>
  <c r="C40" i="12" s="1"/>
  <c r="B7" i="12"/>
  <c r="AT23" i="9" l="1"/>
  <c r="AT33" i="2"/>
  <c r="AT18" i="9"/>
  <c r="AT22" i="9" s="1"/>
  <c r="AT32" i="2"/>
  <c r="AM23" i="9"/>
  <c r="AM22" i="9"/>
  <c r="AM43" i="3"/>
  <c r="D36" i="12"/>
  <c r="AM33" i="2"/>
  <c r="AM32" i="2"/>
  <c r="C5" i="5"/>
  <c r="C19" i="12"/>
  <c r="C28" i="12" s="1"/>
  <c r="C18" i="12"/>
  <c r="C17" i="12"/>
  <c r="C26" i="12" s="1"/>
  <c r="AL18" i="9"/>
  <c r="AL42" i="8"/>
  <c r="AL41" i="8"/>
  <c r="AL40" i="8"/>
  <c r="AL39" i="8"/>
  <c r="AL35" i="8"/>
  <c r="AL34" i="8"/>
  <c r="AL26" i="8"/>
  <c r="AL27" i="8" s="1"/>
  <c r="AL20" i="8"/>
  <c r="AL19" i="8"/>
  <c r="AL18" i="8"/>
  <c r="AL17" i="8"/>
  <c r="AL13" i="8"/>
  <c r="AL12" i="8"/>
  <c r="AL11" i="8"/>
  <c r="AL7" i="8"/>
  <c r="AL6" i="8"/>
  <c r="AL5" i="8"/>
  <c r="AL25" i="7"/>
  <c r="AL23" i="7"/>
  <c r="AL21" i="7"/>
  <c r="AL20" i="7"/>
  <c r="AL19" i="7"/>
  <c r="AL18" i="7"/>
  <c r="AL16" i="7"/>
  <c r="AL14" i="7"/>
  <c r="AL13" i="7"/>
  <c r="AL12" i="7"/>
  <c r="AL11" i="7"/>
  <c r="AL9" i="7"/>
  <c r="AL8" i="7"/>
  <c r="AL7" i="7"/>
  <c r="AL6" i="7"/>
  <c r="AL5" i="7"/>
  <c r="AL4" i="7"/>
  <c r="AL29" i="6"/>
  <c r="AL12" i="9" s="1"/>
  <c r="AL24" i="6"/>
  <c r="AL11" i="9" s="1"/>
  <c r="AL16" i="6"/>
  <c r="AL12" i="6"/>
  <c r="AL8" i="6"/>
  <c r="AL7" i="9" s="1"/>
  <c r="AL7" i="6"/>
  <c r="C21" i="12"/>
  <c r="C12" i="12"/>
  <c r="AL7" i="4"/>
  <c r="AL5" i="4"/>
  <c r="AL33" i="3"/>
  <c r="AK33" i="2"/>
  <c r="AA25" i="1"/>
  <c r="AO37" i="3"/>
  <c r="B38" i="12"/>
  <c r="B21" i="12"/>
  <c r="B12" i="12"/>
  <c r="AO41" i="3" l="1"/>
  <c r="AO43" i="3" s="1"/>
  <c r="C16" i="12"/>
  <c r="AM4" i="4"/>
  <c r="AM8" i="4" s="1"/>
  <c r="AL36" i="8"/>
  <c r="AL14" i="9"/>
  <c r="AL34" i="6"/>
  <c r="C27" i="12"/>
  <c r="C25" i="12" s="1"/>
  <c r="AL11" i="2"/>
  <c r="C4" i="5" s="1"/>
  <c r="C6" i="5" s="1"/>
  <c r="AL27" i="7"/>
  <c r="AL32" i="7"/>
  <c r="AL43" i="8"/>
  <c r="AL21" i="8"/>
  <c r="AL30" i="7"/>
  <c r="AL26" i="7"/>
  <c r="AL17" i="7"/>
  <c r="AL14" i="8"/>
  <c r="AL28" i="7"/>
  <c r="AL29" i="7"/>
  <c r="AL34" i="7"/>
  <c r="AL8" i="8"/>
  <c r="AL10" i="7"/>
  <c r="C30" i="12"/>
  <c r="B30" i="12"/>
  <c r="B40" i="12"/>
  <c r="AL18" i="2" l="1"/>
  <c r="AL20" i="2" s="1"/>
  <c r="AL22" i="2" s="1"/>
  <c r="AL5" i="9" s="1"/>
  <c r="AL15" i="9" s="1"/>
  <c r="AL35" i="7"/>
  <c r="AK19" i="9"/>
  <c r="AK18" i="9"/>
  <c r="AK21" i="6"/>
  <c r="AK9" i="9" s="1"/>
  <c r="AK16" i="6"/>
  <c r="AK12" i="6"/>
  <c r="AK8" i="6"/>
  <c r="AK7" i="9" s="1"/>
  <c r="B6" i="5"/>
  <c r="AK11" i="2"/>
  <c r="AK17" i="2"/>
  <c r="AA54" i="1"/>
  <c r="AA56" i="1" s="1"/>
  <c r="AA45" i="1"/>
  <c r="AA38" i="1"/>
  <c r="B19" i="12"/>
  <c r="B28" i="12" s="1"/>
  <c r="B18" i="12"/>
  <c r="B27" i="12" s="1"/>
  <c r="B17" i="12"/>
  <c r="AK42" i="8"/>
  <c r="AK41" i="8"/>
  <c r="AK40" i="8"/>
  <c r="AK39" i="8"/>
  <c r="AK35" i="8"/>
  <c r="AK34" i="8"/>
  <c r="AK26" i="8"/>
  <c r="AK27" i="8" s="1"/>
  <c r="AK20" i="8"/>
  <c r="AK19" i="8"/>
  <c r="AK18" i="8"/>
  <c r="AK17" i="8"/>
  <c r="AK13" i="8"/>
  <c r="AK12" i="8"/>
  <c r="AK11" i="8"/>
  <c r="AK7" i="8"/>
  <c r="AK6" i="8"/>
  <c r="AK5" i="8"/>
  <c r="AK25" i="7"/>
  <c r="AK23" i="7"/>
  <c r="AK22" i="7"/>
  <c r="AK31" i="7" s="1"/>
  <c r="AK21" i="7"/>
  <c r="AK20" i="7"/>
  <c r="AK19" i="7"/>
  <c r="AK18" i="7"/>
  <c r="AK16" i="7"/>
  <c r="AK14" i="7"/>
  <c r="AK13" i="7"/>
  <c r="AK12" i="7"/>
  <c r="AK11" i="7"/>
  <c r="AK9" i="7"/>
  <c r="AK8" i="7"/>
  <c r="AK7" i="7"/>
  <c r="AK6" i="7"/>
  <c r="AK5" i="7"/>
  <c r="AK4" i="7"/>
  <c r="AK29" i="6"/>
  <c r="AK12" i="9" s="1"/>
  <c r="AK24" i="6"/>
  <c r="AK11" i="9" s="1"/>
  <c r="AK7" i="6"/>
  <c r="AK6" i="6"/>
  <c r="AK7" i="4"/>
  <c r="AK5" i="4"/>
  <c r="AK33" i="3"/>
  <c r="AK18" i="3"/>
  <c r="AK5" i="3"/>
  <c r="AL4" i="6" l="1"/>
  <c r="AL24" i="2"/>
  <c r="AL33" i="2" s="1"/>
  <c r="AL4" i="3"/>
  <c r="AL25" i="3" s="1"/>
  <c r="AL43" i="3" s="1"/>
  <c r="AL23" i="9"/>
  <c r="AL22" i="9"/>
  <c r="AA46" i="1"/>
  <c r="AA57" i="1" s="1"/>
  <c r="B16" i="12"/>
  <c r="B26" i="12"/>
  <c r="B25" i="12" s="1"/>
  <c r="AK14" i="9"/>
  <c r="AK28" i="7"/>
  <c r="AK43" i="8"/>
  <c r="AK18" i="2"/>
  <c r="AK34" i="7"/>
  <c r="AK21" i="8"/>
  <c r="AK32" i="7"/>
  <c r="AK8" i="8"/>
  <c r="AK14" i="8"/>
  <c r="AK36" i="8"/>
  <c r="AK10" i="7"/>
  <c r="AK29" i="7"/>
  <c r="AK30" i="7"/>
  <c r="AK26" i="7"/>
  <c r="AK34" i="6"/>
  <c r="AK27" i="7"/>
  <c r="AK17" i="7"/>
  <c r="AJ22" i="3"/>
  <c r="AJ21" i="3"/>
  <c r="AI22" i="3"/>
  <c r="AI21" i="3"/>
  <c r="AK20" i="2" l="1"/>
  <c r="AK22" i="2" s="1"/>
  <c r="AK24" i="2" s="1"/>
  <c r="AL32" i="2"/>
  <c r="C36" i="12"/>
  <c r="AL4" i="4"/>
  <c r="AL8" i="4" s="1"/>
  <c r="AL35" i="6"/>
  <c r="AK35" i="7"/>
  <c r="AC12" i="11"/>
  <c r="AI19" i="9"/>
  <c r="AI18" i="9"/>
  <c r="AJ42" i="8"/>
  <c r="AI42" i="8"/>
  <c r="AJ41" i="8"/>
  <c r="AI41" i="8"/>
  <c r="AJ40" i="8"/>
  <c r="AI40" i="8"/>
  <c r="AJ39" i="8"/>
  <c r="AI39" i="8"/>
  <c r="AJ35" i="8"/>
  <c r="AI35" i="8"/>
  <c r="AJ34" i="8"/>
  <c r="AI34" i="8"/>
  <c r="AJ26" i="8"/>
  <c r="AJ27" i="8" s="1"/>
  <c r="AI26" i="8"/>
  <c r="AI27" i="8" s="1"/>
  <c r="AJ20" i="8"/>
  <c r="AI20" i="8"/>
  <c r="AJ19" i="8"/>
  <c r="AI19" i="8"/>
  <c r="AJ18" i="8"/>
  <c r="AI18" i="8"/>
  <c r="AJ17" i="8"/>
  <c r="AI17" i="8"/>
  <c r="AJ13" i="8"/>
  <c r="AI13" i="8"/>
  <c r="AJ12" i="8"/>
  <c r="AI12" i="8"/>
  <c r="AJ11" i="8"/>
  <c r="AI11" i="8"/>
  <c r="AJ7" i="8"/>
  <c r="AI7" i="8"/>
  <c r="AJ6" i="8"/>
  <c r="AI6" i="8"/>
  <c r="AJ5" i="8"/>
  <c r="AI5" i="8"/>
  <c r="AJ25" i="7"/>
  <c r="AI25" i="7"/>
  <c r="AJ23" i="7"/>
  <c r="AI23" i="7"/>
  <c r="AJ22" i="7"/>
  <c r="AJ31" i="7" s="1"/>
  <c r="AI22" i="7"/>
  <c r="AI31" i="7" s="1"/>
  <c r="AJ21" i="7"/>
  <c r="AI21" i="7"/>
  <c r="AJ20" i="7"/>
  <c r="AI20" i="7"/>
  <c r="AJ19" i="7"/>
  <c r="AI19" i="7"/>
  <c r="AJ18" i="7"/>
  <c r="AI18" i="7"/>
  <c r="AJ16" i="7"/>
  <c r="AI16" i="7"/>
  <c r="AJ14" i="7"/>
  <c r="AI14" i="7"/>
  <c r="AJ13" i="7"/>
  <c r="AI13" i="7"/>
  <c r="AJ12" i="7"/>
  <c r="AI12" i="7"/>
  <c r="AJ11" i="7"/>
  <c r="AI11" i="7"/>
  <c r="AJ9" i="7"/>
  <c r="AJ32" i="7" s="1"/>
  <c r="AI9" i="7"/>
  <c r="AI32" i="7" s="1"/>
  <c r="AJ8" i="7"/>
  <c r="AI8" i="7"/>
  <c r="AJ7" i="7"/>
  <c r="AI7" i="7"/>
  <c r="AJ6" i="7"/>
  <c r="AI6" i="7"/>
  <c r="AJ5" i="7"/>
  <c r="AI5" i="7"/>
  <c r="AJ4" i="7"/>
  <c r="AI4" i="7"/>
  <c r="AI21" i="6"/>
  <c r="AI9" i="9" s="1"/>
  <c r="AJ29" i="6"/>
  <c r="AJ12" i="9" s="1"/>
  <c r="AI29" i="6"/>
  <c r="AI12" i="9" s="1"/>
  <c r="AJ24" i="6"/>
  <c r="AJ11" i="9" s="1"/>
  <c r="AI24" i="6"/>
  <c r="AI11" i="9" s="1"/>
  <c r="AJ9" i="9"/>
  <c r="AJ16" i="6"/>
  <c r="AI16" i="6"/>
  <c r="AJ12" i="6"/>
  <c r="AI12" i="6"/>
  <c r="AJ8" i="6"/>
  <c r="AJ7" i="9" s="1"/>
  <c r="AI8" i="6"/>
  <c r="AI7" i="9" s="1"/>
  <c r="AJ7" i="6"/>
  <c r="AI7" i="6"/>
  <c r="AI7" i="4"/>
  <c r="AH7" i="4"/>
  <c r="AI5" i="4"/>
  <c r="AH5" i="4"/>
  <c r="AJ5" i="3"/>
  <c r="AJ37" i="3"/>
  <c r="AI5" i="3"/>
  <c r="AD5" i="3"/>
  <c r="AJ42" i="3"/>
  <c r="AI41" i="3"/>
  <c r="AJ38" i="3"/>
  <c r="AJ36" i="3"/>
  <c r="AJ35" i="3"/>
  <c r="AJ34" i="3"/>
  <c r="AI33" i="3"/>
  <c r="AJ32" i="3"/>
  <c r="AJ29" i="3"/>
  <c r="AJ27" i="3"/>
  <c r="AJ7" i="4" s="1"/>
  <c r="AJ26" i="3"/>
  <c r="AJ5" i="4" s="1"/>
  <c r="AJ18" i="3"/>
  <c r="AI18" i="3"/>
  <c r="AJ17" i="2"/>
  <c r="AI17" i="2"/>
  <c r="Z54" i="1"/>
  <c r="Z56" i="1" s="1"/>
  <c r="Z45" i="1"/>
  <c r="Z38" i="1"/>
  <c r="Z25" i="1"/>
  <c r="AJ34" i="6" l="1"/>
  <c r="AK5" i="9"/>
  <c r="AK15" i="9" s="1"/>
  <c r="AK23" i="9" s="1"/>
  <c r="AK4" i="3"/>
  <c r="AK25" i="3" s="1"/>
  <c r="B36" i="12" s="1"/>
  <c r="AK4" i="6"/>
  <c r="AK35" i="6" s="1"/>
  <c r="AI11" i="2"/>
  <c r="AJ26" i="7"/>
  <c r="AI21" i="8"/>
  <c r="AJ30" i="7"/>
  <c r="AI14" i="8"/>
  <c r="AI34" i="6"/>
  <c r="AC14" i="11"/>
  <c r="AD4" i="11"/>
  <c r="AE4" i="11" s="1"/>
  <c r="AF4" i="11" s="1"/>
  <c r="AJ21" i="8"/>
  <c r="AJ14" i="9"/>
  <c r="AJ36" i="8"/>
  <c r="AI43" i="8"/>
  <c r="AJ28" i="7"/>
  <c r="AJ14" i="8"/>
  <c r="AJ43" i="8"/>
  <c r="AI14" i="9"/>
  <c r="AI8" i="8"/>
  <c r="AJ17" i="7"/>
  <c r="AJ8" i="8"/>
  <c r="AI36" i="8"/>
  <c r="AJ10" i="7"/>
  <c r="AK32" i="2"/>
  <c r="AI29" i="7"/>
  <c r="AI10" i="7"/>
  <c r="AJ29" i="7"/>
  <c r="AI28" i="7"/>
  <c r="AI34" i="7"/>
  <c r="AJ34" i="7"/>
  <c r="AI30" i="7"/>
  <c r="AI17" i="7"/>
  <c r="AI27" i="7"/>
  <c r="AJ27" i="7"/>
  <c r="AI26" i="7"/>
  <c r="AJ33" i="3"/>
  <c r="AJ41" i="3"/>
  <c r="Z46" i="1"/>
  <c r="Z57" i="1" s="1"/>
  <c r="AK4" i="4" l="1"/>
  <c r="AK8" i="4" s="1"/>
  <c r="AK43" i="3"/>
  <c r="AF6" i="11"/>
  <c r="AF8" i="11" s="1"/>
  <c r="AG4" i="11"/>
  <c r="AG6" i="11" s="1"/>
  <c r="AK22" i="9"/>
  <c r="AD6" i="11"/>
  <c r="AD8" i="11" s="1"/>
  <c r="AE6" i="11"/>
  <c r="AE8" i="11" s="1"/>
  <c r="AJ11" i="2"/>
  <c r="AJ35" i="7"/>
  <c r="AI35" i="7"/>
  <c r="AI18" i="2"/>
  <c r="AI20" i="2" s="1"/>
  <c r="AI22" i="2" s="1"/>
  <c r="AB12" i="11"/>
  <c r="AB14" i="11" s="1"/>
  <c r="AH19" i="9"/>
  <c r="AH18" i="9"/>
  <c r="AH42" i="8"/>
  <c r="AH41" i="8"/>
  <c r="AH40" i="8"/>
  <c r="AH39" i="8"/>
  <c r="AH35" i="8"/>
  <c r="AH34" i="8"/>
  <c r="AH26" i="8"/>
  <c r="AH27" i="8" s="1"/>
  <c r="AH20" i="8"/>
  <c r="AH19" i="8"/>
  <c r="AH18" i="8"/>
  <c r="AH17" i="8"/>
  <c r="AH13" i="8"/>
  <c r="AH12" i="8"/>
  <c r="AH11" i="8"/>
  <c r="AH7" i="8"/>
  <c r="AH6" i="8"/>
  <c r="AH5" i="8"/>
  <c r="AH25" i="7"/>
  <c r="AH23" i="7"/>
  <c r="AH22" i="7"/>
  <c r="AH31" i="7" s="1"/>
  <c r="AH21" i="7"/>
  <c r="AH20" i="7"/>
  <c r="AH19" i="7"/>
  <c r="AH18" i="7"/>
  <c r="AH16" i="7"/>
  <c r="AH14" i="7"/>
  <c r="AH13" i="7"/>
  <c r="AH12" i="7"/>
  <c r="AH11" i="7"/>
  <c r="AH9" i="7"/>
  <c r="AH8" i="7"/>
  <c r="AH7" i="7"/>
  <c r="AH6" i="7"/>
  <c r="AH5" i="7"/>
  <c r="AH4" i="7"/>
  <c r="AH12" i="6"/>
  <c r="AH6" i="6"/>
  <c r="AH7" i="6"/>
  <c r="AH8" i="6"/>
  <c r="AH7" i="9" s="1"/>
  <c r="AH41" i="3"/>
  <c r="AH33" i="3"/>
  <c r="AH18" i="3"/>
  <c r="AH5" i="3"/>
  <c r="Y54" i="1"/>
  <c r="Y56" i="1" s="1"/>
  <c r="Y45" i="1"/>
  <c r="Y38" i="1"/>
  <c r="Y25" i="1"/>
  <c r="AH17" i="2"/>
  <c r="AH29" i="6"/>
  <c r="AH12" i="9" s="1"/>
  <c r="AH24" i="6"/>
  <c r="AH11" i="9" s="1"/>
  <c r="AH21" i="6"/>
  <c r="AH9" i="9" s="1"/>
  <c r="AH16" i="6"/>
  <c r="AG19" i="9"/>
  <c r="AG18" i="9"/>
  <c r="AG42" i="8"/>
  <c r="AG41" i="8"/>
  <c r="AG40" i="8"/>
  <c r="AG39" i="8"/>
  <c r="AG35" i="8"/>
  <c r="AG34" i="8"/>
  <c r="AG26" i="8"/>
  <c r="AG27" i="8" s="1"/>
  <c r="AG20" i="8"/>
  <c r="AG19" i="8"/>
  <c r="AG18" i="8"/>
  <c r="AG17" i="8"/>
  <c r="AG13" i="8"/>
  <c r="AG12" i="8"/>
  <c r="AG11" i="8"/>
  <c r="AG7" i="8"/>
  <c r="AG6" i="8"/>
  <c r="AG5" i="8"/>
  <c r="AG25" i="7"/>
  <c r="AG23" i="7"/>
  <c r="AG22" i="7"/>
  <c r="AG31" i="7" s="1"/>
  <c r="AG21" i="7"/>
  <c r="AG20" i="7"/>
  <c r="AG19" i="7"/>
  <c r="AG18" i="7"/>
  <c r="AG16" i="7"/>
  <c r="AG14" i="7"/>
  <c r="AG13" i="7"/>
  <c r="AG12" i="7"/>
  <c r="AG11" i="7"/>
  <c r="AG9" i="7"/>
  <c r="AG8" i="7"/>
  <c r="AG7" i="7"/>
  <c r="AG6" i="7"/>
  <c r="AG5" i="7"/>
  <c r="AG4" i="7"/>
  <c r="AG29" i="6"/>
  <c r="AG12" i="9" s="1"/>
  <c r="AG24" i="6"/>
  <c r="AG11" i="9" s="1"/>
  <c r="AG21" i="6"/>
  <c r="AG9" i="9" s="1"/>
  <c r="AG16" i="6"/>
  <c r="AG12" i="6"/>
  <c r="AG8" i="6"/>
  <c r="AG7" i="9" s="1"/>
  <c r="AG7" i="6"/>
  <c r="AG6" i="6"/>
  <c r="AG7" i="4"/>
  <c r="AG5" i="4"/>
  <c r="X54" i="1"/>
  <c r="X56" i="1" s="1"/>
  <c r="X45" i="1"/>
  <c r="X38" i="1"/>
  <c r="X25" i="1"/>
  <c r="AG41" i="3"/>
  <c r="AG33" i="3"/>
  <c r="AG18" i="3"/>
  <c r="AG5" i="3"/>
  <c r="AG17" i="2"/>
  <c r="AA12" i="11"/>
  <c r="AA14" i="11" s="1"/>
  <c r="AF42" i="8"/>
  <c r="AF41" i="8"/>
  <c r="AF40" i="8"/>
  <c r="AF39" i="8"/>
  <c r="AF35" i="8"/>
  <c r="AF34" i="8"/>
  <c r="AF26" i="8"/>
  <c r="AF27" i="8" s="1"/>
  <c r="AF20" i="8"/>
  <c r="AF19" i="8"/>
  <c r="AF18" i="8"/>
  <c r="AF17" i="8"/>
  <c r="AF13" i="8"/>
  <c r="AF12" i="8"/>
  <c r="AF11" i="8"/>
  <c r="AF7" i="8"/>
  <c r="AF6" i="8"/>
  <c r="AF5" i="8"/>
  <c r="AF25" i="7"/>
  <c r="AF23" i="7"/>
  <c r="AF22" i="7"/>
  <c r="AF31" i="7" s="1"/>
  <c r="AF21" i="7"/>
  <c r="AF20" i="7"/>
  <c r="AF19" i="7"/>
  <c r="AF18" i="7"/>
  <c r="AF16" i="7"/>
  <c r="AF14" i="7"/>
  <c r="AF13" i="7"/>
  <c r="AF12" i="7"/>
  <c r="AF11" i="7"/>
  <c r="AF9" i="7"/>
  <c r="AF8" i="7"/>
  <c r="AF7" i="7"/>
  <c r="AF6" i="7"/>
  <c r="AF5" i="7"/>
  <c r="AF4" i="7"/>
  <c r="AF29" i="6"/>
  <c r="AF12" i="9" s="1"/>
  <c r="AF24" i="6"/>
  <c r="AF11" i="9" s="1"/>
  <c r="AF21" i="6"/>
  <c r="AF9" i="9" s="1"/>
  <c r="AF16" i="6"/>
  <c r="AF12" i="6"/>
  <c r="AF8" i="6"/>
  <c r="AF7" i="9" s="1"/>
  <c r="AF7" i="6"/>
  <c r="AF6" i="6"/>
  <c r="AF7" i="4"/>
  <c r="AF5" i="4"/>
  <c r="AF41" i="3"/>
  <c r="AF33" i="3"/>
  <c r="AF18" i="3"/>
  <c r="AF5" i="3"/>
  <c r="W54" i="1"/>
  <c r="W56" i="1" s="1"/>
  <c r="W45" i="1"/>
  <c r="W38" i="1"/>
  <c r="W25" i="1"/>
  <c r="Z12" i="11"/>
  <c r="Z14" i="11" s="1"/>
  <c r="AF17" i="2"/>
  <c r="AD19" i="9"/>
  <c r="AD18" i="9"/>
  <c r="AE42" i="8"/>
  <c r="AD42" i="8"/>
  <c r="AE41" i="8"/>
  <c r="AD41" i="8"/>
  <c r="AE40" i="8"/>
  <c r="AD40" i="8"/>
  <c r="AE39" i="8"/>
  <c r="AD39" i="8"/>
  <c r="AE35" i="8"/>
  <c r="AD35" i="8"/>
  <c r="AE34" i="8"/>
  <c r="AD34" i="8"/>
  <c r="AE26" i="8"/>
  <c r="AE27" i="8" s="1"/>
  <c r="AD26" i="8"/>
  <c r="AD27" i="8" s="1"/>
  <c r="AE20" i="8"/>
  <c r="AD20" i="8"/>
  <c r="AE19" i="8"/>
  <c r="AD19" i="8"/>
  <c r="AE18" i="8"/>
  <c r="AD18" i="8"/>
  <c r="AE17" i="8"/>
  <c r="AD17" i="8"/>
  <c r="AE13" i="8"/>
  <c r="AD13" i="8"/>
  <c r="AE12" i="8"/>
  <c r="AD12" i="8"/>
  <c r="AE11" i="8"/>
  <c r="AD11" i="8"/>
  <c r="AE7" i="8"/>
  <c r="AD7" i="8"/>
  <c r="AE6" i="8"/>
  <c r="AD6" i="8"/>
  <c r="AE5" i="8"/>
  <c r="AD5" i="8"/>
  <c r="AE25" i="7"/>
  <c r="AD25" i="7"/>
  <c r="AE23" i="7"/>
  <c r="AD23" i="7"/>
  <c r="AE22" i="7"/>
  <c r="AE31" i="7" s="1"/>
  <c r="AD22" i="7"/>
  <c r="AD31" i="7" s="1"/>
  <c r="AE21" i="7"/>
  <c r="AD21" i="7"/>
  <c r="AE20" i="7"/>
  <c r="AD20" i="7"/>
  <c r="AE19" i="7"/>
  <c r="AD19" i="7"/>
  <c r="AE18" i="7"/>
  <c r="AD18" i="7"/>
  <c r="AE16" i="7"/>
  <c r="AD16" i="7"/>
  <c r="AE14" i="7"/>
  <c r="AD14" i="7"/>
  <c r="AE13" i="7"/>
  <c r="AD13" i="7"/>
  <c r="AE12" i="7"/>
  <c r="AD12" i="7"/>
  <c r="AE11" i="7"/>
  <c r="AD11" i="7"/>
  <c r="AE9" i="7"/>
  <c r="AD9" i="7"/>
  <c r="AD32" i="7" s="1"/>
  <c r="AE8" i="7"/>
  <c r="AD8" i="7"/>
  <c r="AE7" i="7"/>
  <c r="AD7" i="7"/>
  <c r="AE6" i="7"/>
  <c r="AD6" i="7"/>
  <c r="AE5" i="7"/>
  <c r="AD5" i="7"/>
  <c r="AE4" i="7"/>
  <c r="AD4" i="7"/>
  <c r="AE8" i="6"/>
  <c r="AE7" i="9" s="1"/>
  <c r="AE29" i="6"/>
  <c r="AE12" i="9" s="1"/>
  <c r="AD29" i="6"/>
  <c r="AD12" i="9" s="1"/>
  <c r="AE24" i="6"/>
  <c r="AE11" i="9" s="1"/>
  <c r="AD24" i="6"/>
  <c r="AD11" i="9" s="1"/>
  <c r="AE21" i="6"/>
  <c r="AE9" i="9" s="1"/>
  <c r="AD21" i="6"/>
  <c r="AD9" i="9" s="1"/>
  <c r="AE16" i="6"/>
  <c r="AD16" i="6"/>
  <c r="AE12" i="6"/>
  <c r="AD12" i="6"/>
  <c r="AD8" i="6"/>
  <c r="AD7" i="9" s="1"/>
  <c r="AE7" i="6"/>
  <c r="AD7" i="6"/>
  <c r="AE6" i="6"/>
  <c r="AD6" i="6"/>
  <c r="AD7" i="4"/>
  <c r="AD5" i="4"/>
  <c r="V38" i="1"/>
  <c r="V54" i="1"/>
  <c r="V56" i="1" s="1"/>
  <c r="V45" i="1"/>
  <c r="V25" i="1"/>
  <c r="AE42" i="3"/>
  <c r="AE37" i="3"/>
  <c r="AE34" i="3"/>
  <c r="AD41" i="3"/>
  <c r="AE38" i="3"/>
  <c r="AE36" i="3"/>
  <c r="AE35" i="3"/>
  <c r="AD33" i="3"/>
  <c r="AE32" i="3"/>
  <c r="AE29" i="3"/>
  <c r="AE27" i="3"/>
  <c r="AE7" i="4" s="1"/>
  <c r="AE26" i="3"/>
  <c r="AE5" i="4" s="1"/>
  <c r="AE18" i="3"/>
  <c r="AD18" i="3"/>
  <c r="AE5" i="3"/>
  <c r="Y12" i="11"/>
  <c r="Y14" i="11" s="1"/>
  <c r="AE17" i="2"/>
  <c r="AD17" i="2"/>
  <c r="AJ18" i="2" l="1"/>
  <c r="AJ20" i="2" s="1"/>
  <c r="AJ22" i="2" s="1"/>
  <c r="AE32" i="7"/>
  <c r="AG8" i="11"/>
  <c r="AO29" i="2" s="1"/>
  <c r="AO19" i="9" s="1"/>
  <c r="AO28" i="2"/>
  <c r="AH32" i="7"/>
  <c r="AH8" i="8"/>
  <c r="AG36" i="8"/>
  <c r="AH36" i="8"/>
  <c r="AH28" i="7"/>
  <c r="AF34" i="7"/>
  <c r="AH14" i="8"/>
  <c r="Y46" i="1"/>
  <c r="Y57" i="1" s="1"/>
  <c r="AH34" i="6"/>
  <c r="AI4" i="6"/>
  <c r="AI35" i="6" s="1"/>
  <c r="AI5" i="9"/>
  <c r="AI15" i="9" s="1"/>
  <c r="AI4" i="3"/>
  <c r="AI25" i="3" s="1"/>
  <c r="AI24" i="2"/>
  <c r="AI33" i="2" s="1"/>
  <c r="AH43" i="8"/>
  <c r="AE14" i="8"/>
  <c r="AE36" i="8"/>
  <c r="AG8" i="8"/>
  <c r="AH21" i="8"/>
  <c r="AH29" i="7"/>
  <c r="AF32" i="7"/>
  <c r="AH17" i="7"/>
  <c r="AH30" i="7"/>
  <c r="AF17" i="7"/>
  <c r="AG29" i="7"/>
  <c r="AG30" i="7"/>
  <c r="AH10" i="7"/>
  <c r="AH34" i="7"/>
  <c r="AH26" i="7"/>
  <c r="AH14" i="9"/>
  <c r="AG11" i="2"/>
  <c r="AH11" i="2"/>
  <c r="V46" i="1"/>
  <c r="V57" i="1" s="1"/>
  <c r="AH27" i="7"/>
  <c r="AG14" i="8"/>
  <c r="AE28" i="7"/>
  <c r="AG28" i="7"/>
  <c r="AG34" i="7"/>
  <c r="AG26" i="7"/>
  <c r="AE41" i="3"/>
  <c r="AG14" i="9"/>
  <c r="AG17" i="7"/>
  <c r="AE30" i="7"/>
  <c r="AE43" i="8"/>
  <c r="AF29" i="7"/>
  <c r="AF8" i="8"/>
  <c r="AD10" i="7"/>
  <c r="AG10" i="7"/>
  <c r="AG43" i="8"/>
  <c r="AG21" i="8"/>
  <c r="AD14" i="8"/>
  <c r="AG32" i="7"/>
  <c r="AF43" i="8"/>
  <c r="AD36" i="8"/>
  <c r="AD43" i="8"/>
  <c r="AF14" i="8"/>
  <c r="AF36" i="8"/>
  <c r="AE26" i="7"/>
  <c r="AG27" i="7"/>
  <c r="AG34" i="6"/>
  <c r="AE14" i="9"/>
  <c r="AF14" i="9"/>
  <c r="AF30" i="7"/>
  <c r="AF26" i="7"/>
  <c r="AD14" i="9"/>
  <c r="AD34" i="7"/>
  <c r="AE10" i="7"/>
  <c r="AE29" i="7"/>
  <c r="AE17" i="7"/>
  <c r="AE34" i="7"/>
  <c r="AE8" i="8"/>
  <c r="AD21" i="8"/>
  <c r="AF10" i="7"/>
  <c r="AD29" i="7"/>
  <c r="AD28" i="7"/>
  <c r="AD30" i="7"/>
  <c r="AD26" i="7"/>
  <c r="AD8" i="8"/>
  <c r="AE21" i="8"/>
  <c r="AF28" i="7"/>
  <c r="AF21" i="8"/>
  <c r="X46" i="1"/>
  <c r="X57" i="1" s="1"/>
  <c r="AE33" i="3"/>
  <c r="AF27" i="7"/>
  <c r="AF11" i="2"/>
  <c r="AF34" i="6"/>
  <c r="W46" i="1"/>
  <c r="W57" i="1" s="1"/>
  <c r="Z4" i="11"/>
  <c r="AD27" i="7"/>
  <c r="AE27" i="7"/>
  <c r="AD17" i="7"/>
  <c r="AD34" i="6"/>
  <c r="AE34" i="6"/>
  <c r="X12" i="11"/>
  <c r="X14" i="11" s="1"/>
  <c r="AC19" i="9"/>
  <c r="AC18" i="9"/>
  <c r="AC42" i="8"/>
  <c r="AC41" i="8"/>
  <c r="AC40" i="8"/>
  <c r="AC39" i="8"/>
  <c r="AC35" i="8"/>
  <c r="AC34" i="8"/>
  <c r="AC26" i="8"/>
  <c r="AC27" i="8" s="1"/>
  <c r="AC20" i="8"/>
  <c r="AC19" i="8"/>
  <c r="AC18" i="8"/>
  <c r="AC17" i="8"/>
  <c r="AC13" i="8"/>
  <c r="AC12" i="8"/>
  <c r="AC11" i="8"/>
  <c r="AC7" i="8"/>
  <c r="AC6" i="8"/>
  <c r="AC5" i="8"/>
  <c r="AC25" i="7"/>
  <c r="AC23" i="7"/>
  <c r="AC22" i="7"/>
  <c r="AC31" i="7" s="1"/>
  <c r="AC21" i="7"/>
  <c r="AC20" i="7"/>
  <c r="AC19" i="7"/>
  <c r="AC18" i="7"/>
  <c r="AC16" i="7"/>
  <c r="AC14" i="7"/>
  <c r="AC13" i="7"/>
  <c r="AC12" i="7"/>
  <c r="AC11" i="7"/>
  <c r="AC9" i="7"/>
  <c r="AC8" i="7"/>
  <c r="AC7" i="7"/>
  <c r="AC6" i="7"/>
  <c r="AC5" i="7"/>
  <c r="AC4" i="7"/>
  <c r="AC29" i="6"/>
  <c r="AC12" i="9" s="1"/>
  <c r="AC24" i="6"/>
  <c r="AC11" i="9" s="1"/>
  <c r="AC21" i="6"/>
  <c r="AC9" i="9" s="1"/>
  <c r="AC16" i="6"/>
  <c r="AC12" i="6"/>
  <c r="AC8" i="6"/>
  <c r="AC7" i="9" s="1"/>
  <c r="AC7" i="6"/>
  <c r="AC6" i="6"/>
  <c r="AC7" i="4"/>
  <c r="AC5" i="4"/>
  <c r="AC41" i="3"/>
  <c r="AC33" i="3"/>
  <c r="AC18" i="3"/>
  <c r="AC5" i="3"/>
  <c r="AC17" i="2"/>
  <c r="U54" i="1"/>
  <c r="U56" i="1" s="1"/>
  <c r="U45" i="1"/>
  <c r="U38" i="1"/>
  <c r="U25" i="1"/>
  <c r="AO18" i="9" l="1"/>
  <c r="AO22" i="9" s="1"/>
  <c r="AO32" i="2"/>
  <c r="AO23" i="9"/>
  <c r="AO33" i="2"/>
  <c r="AI32" i="2"/>
  <c r="AI43" i="3"/>
  <c r="AI4" i="4"/>
  <c r="AI8" i="4" s="1"/>
  <c r="AH18" i="2"/>
  <c r="AH20" i="2" s="1"/>
  <c r="AH22" i="2" s="1"/>
  <c r="AH24" i="2" s="1"/>
  <c r="AH33" i="2" s="1"/>
  <c r="AF18" i="2"/>
  <c r="AF20" i="2" s="1"/>
  <c r="AF22" i="2" s="1"/>
  <c r="AF5" i="9" s="1"/>
  <c r="AF15" i="9" s="1"/>
  <c r="AG18" i="2"/>
  <c r="AG20" i="2" s="1"/>
  <c r="AG22" i="2" s="1"/>
  <c r="AG5" i="9" s="1"/>
  <c r="AG15" i="9" s="1"/>
  <c r="AG23" i="9" s="1"/>
  <c r="AJ4" i="3"/>
  <c r="AJ25" i="3" s="1"/>
  <c r="AJ24" i="2"/>
  <c r="AJ5" i="9"/>
  <c r="AJ15" i="9" s="1"/>
  <c r="AJ4" i="6"/>
  <c r="AJ35" i="6" s="1"/>
  <c r="AH35" i="7"/>
  <c r="AI23" i="9"/>
  <c r="AI22" i="9"/>
  <c r="AG35" i="7"/>
  <c r="AC32" i="7"/>
  <c r="AE35" i="7"/>
  <c r="AF35" i="7"/>
  <c r="AD35" i="7"/>
  <c r="U46" i="1"/>
  <c r="U57" i="1" s="1"/>
  <c r="Z6" i="11"/>
  <c r="AA4" i="11"/>
  <c r="AD11" i="2"/>
  <c r="AE11" i="2"/>
  <c r="AC21" i="8"/>
  <c r="AC14" i="8"/>
  <c r="AC36" i="8"/>
  <c r="AC30" i="7"/>
  <c r="AC28" i="7"/>
  <c r="AC29" i="7"/>
  <c r="AC34" i="7"/>
  <c r="AC8" i="8"/>
  <c r="AC43" i="8"/>
  <c r="AC14" i="9"/>
  <c r="AC17" i="7"/>
  <c r="AC26" i="7"/>
  <c r="AC10" i="7"/>
  <c r="AC34" i="6"/>
  <c r="AC27" i="7"/>
  <c r="AC11" i="2"/>
  <c r="AB19" i="9"/>
  <c r="AB18" i="9"/>
  <c r="AB42" i="8"/>
  <c r="AB41" i="8"/>
  <c r="AB40" i="8"/>
  <c r="AB39" i="8"/>
  <c r="AB35" i="8"/>
  <c r="AB34" i="8"/>
  <c r="AB26" i="8"/>
  <c r="AB27" i="8" s="1"/>
  <c r="AB20" i="8"/>
  <c r="AB19" i="8"/>
  <c r="AB18" i="8"/>
  <c r="AB17" i="8"/>
  <c r="AB13" i="8"/>
  <c r="AB12" i="8"/>
  <c r="AB11" i="8"/>
  <c r="AB7" i="8"/>
  <c r="AB6" i="8"/>
  <c r="AB5" i="8"/>
  <c r="AB25" i="7"/>
  <c r="AB23" i="7"/>
  <c r="AB22" i="7"/>
  <c r="AB31" i="7" s="1"/>
  <c r="AB21" i="7"/>
  <c r="AB20" i="7"/>
  <c r="AB19" i="7"/>
  <c r="AB18" i="7"/>
  <c r="AB16" i="7"/>
  <c r="AB14" i="7"/>
  <c r="AB13" i="7"/>
  <c r="AB12" i="7"/>
  <c r="AB11" i="7"/>
  <c r="AB9" i="7"/>
  <c r="AB8" i="7"/>
  <c r="AB7" i="7"/>
  <c r="AB6" i="7"/>
  <c r="AB5" i="7"/>
  <c r="AB4" i="7"/>
  <c r="AB29" i="6"/>
  <c r="AB12" i="9" s="1"/>
  <c r="AB24" i="6"/>
  <c r="AB11" i="9" s="1"/>
  <c r="AB21" i="6"/>
  <c r="AB9" i="9" s="1"/>
  <c r="AB16" i="6"/>
  <c r="AB12" i="6"/>
  <c r="AB8" i="6"/>
  <c r="AB7" i="9" s="1"/>
  <c r="AB7" i="6"/>
  <c r="AB6" i="6"/>
  <c r="AB7" i="4"/>
  <c r="AB5" i="4"/>
  <c r="T25" i="1"/>
  <c r="T54" i="1"/>
  <c r="T56" i="1" s="1"/>
  <c r="T45" i="1"/>
  <c r="T38" i="1"/>
  <c r="AB41" i="3"/>
  <c r="AB33" i="3"/>
  <c r="AB18" i="3"/>
  <c r="AB5" i="3"/>
  <c r="AB17" i="2"/>
  <c r="AG4" i="3" l="1"/>
  <c r="AG25" i="3" s="1"/>
  <c r="AH32" i="2"/>
  <c r="AH5" i="9"/>
  <c r="AH15" i="9" s="1"/>
  <c r="AH23" i="9" s="1"/>
  <c r="AH4" i="3"/>
  <c r="AH25" i="3" s="1"/>
  <c r="AG4" i="6"/>
  <c r="AG35" i="6" s="1"/>
  <c r="AB36" i="8"/>
  <c r="AH4" i="6"/>
  <c r="AH35" i="6" s="1"/>
  <c r="AF4" i="6"/>
  <c r="AF35" i="6" s="1"/>
  <c r="AB14" i="8"/>
  <c r="AB32" i="7"/>
  <c r="AG22" i="9"/>
  <c r="AD18" i="2"/>
  <c r="AD20" i="2" s="1"/>
  <c r="AD22" i="2" s="1"/>
  <c r="AD24" i="2" s="1"/>
  <c r="AD32" i="2" s="1"/>
  <c r="AF24" i="2"/>
  <c r="AJ4" i="4"/>
  <c r="AJ8" i="4" s="1"/>
  <c r="AJ43" i="3"/>
  <c r="AF4" i="3"/>
  <c r="AF25" i="3" s="1"/>
  <c r="AG24" i="2"/>
  <c r="AE18" i="2"/>
  <c r="AC18" i="2"/>
  <c r="AC20" i="2" s="1"/>
  <c r="AC22" i="2" s="1"/>
  <c r="AC4" i="3" s="1"/>
  <c r="AC25" i="3" s="1"/>
  <c r="AA6" i="11"/>
  <c r="AA8" i="11" s="1"/>
  <c r="AB4" i="11"/>
  <c r="AB14" i="9"/>
  <c r="AB28" i="7"/>
  <c r="AB34" i="7"/>
  <c r="AB21" i="8"/>
  <c r="Z8" i="11"/>
  <c r="AF29" i="2" s="1"/>
  <c r="AF19" i="9" s="1"/>
  <c r="AF23" i="9" s="1"/>
  <c r="AF28" i="2"/>
  <c r="AB8" i="8"/>
  <c r="AB17" i="7"/>
  <c r="AB29" i="7"/>
  <c r="AC35" i="7"/>
  <c r="AB30" i="7"/>
  <c r="AB26" i="7"/>
  <c r="AB43" i="8"/>
  <c r="AB27" i="7"/>
  <c r="AB10" i="7"/>
  <c r="AB34" i="6"/>
  <c r="T46" i="1"/>
  <c r="T57" i="1" s="1"/>
  <c r="W12" i="11"/>
  <c r="W14" i="11" s="1"/>
  <c r="AF43" i="3" l="1"/>
  <c r="AH4" i="4"/>
  <c r="AH8" i="4" s="1"/>
  <c r="AH43" i="3"/>
  <c r="AC4" i="6"/>
  <c r="AC35" i="6" s="1"/>
  <c r="AH22" i="9"/>
  <c r="AD4" i="6"/>
  <c r="AD35" i="6" s="1"/>
  <c r="AC24" i="2"/>
  <c r="AC33" i="2" s="1"/>
  <c r="AG4" i="4"/>
  <c r="AG8" i="4" s="1"/>
  <c r="AG43" i="3"/>
  <c r="AE20" i="2"/>
  <c r="AE22" i="2" s="1"/>
  <c r="AE4" i="6" s="1"/>
  <c r="AE35" i="6" s="1"/>
  <c r="AD33" i="2"/>
  <c r="AD4" i="3"/>
  <c r="AD25" i="3" s="1"/>
  <c r="AD5" i="9"/>
  <c r="AD15" i="9" s="1"/>
  <c r="AD23" i="9" s="1"/>
  <c r="AC4" i="4"/>
  <c r="AC8" i="4" s="1"/>
  <c r="AC5" i="9"/>
  <c r="AC15" i="9" s="1"/>
  <c r="AC23" i="9" s="1"/>
  <c r="AC43" i="3"/>
  <c r="AB6" i="11"/>
  <c r="AB8" i="11" s="1"/>
  <c r="AC4" i="11"/>
  <c r="AC6" i="11" s="1"/>
  <c r="AG33" i="2"/>
  <c r="AG32" i="2"/>
  <c r="AF4" i="4"/>
  <c r="AF8" i="4" s="1"/>
  <c r="AB35" i="7"/>
  <c r="AF18" i="9"/>
  <c r="AF22" i="9" s="1"/>
  <c r="AF32" i="2"/>
  <c r="AF33" i="2"/>
  <c r="AB11" i="2"/>
  <c r="AA42" i="8"/>
  <c r="AA41" i="8"/>
  <c r="AA40" i="8"/>
  <c r="AA39" i="8"/>
  <c r="AA35" i="8"/>
  <c r="AA34" i="8"/>
  <c r="AA26" i="8"/>
  <c r="AA27" i="8" s="1"/>
  <c r="AA20" i="8"/>
  <c r="AA19" i="8"/>
  <c r="AA18" i="8"/>
  <c r="AA17" i="8"/>
  <c r="AA13" i="8"/>
  <c r="AA12" i="8"/>
  <c r="AA11" i="8"/>
  <c r="AA7" i="8"/>
  <c r="AA6" i="8"/>
  <c r="AA5" i="8"/>
  <c r="AA25" i="7"/>
  <c r="AA23" i="7"/>
  <c r="AA22" i="7"/>
  <c r="AA31" i="7" s="1"/>
  <c r="AA21" i="7"/>
  <c r="AA20" i="7"/>
  <c r="AA19" i="7"/>
  <c r="AA18" i="7"/>
  <c r="AA16" i="7"/>
  <c r="AA14" i="7"/>
  <c r="AA13" i="7"/>
  <c r="AA12" i="7"/>
  <c r="AA11" i="7"/>
  <c r="AA9" i="7"/>
  <c r="AA8" i="7"/>
  <c r="AA7" i="7"/>
  <c r="AA6" i="7"/>
  <c r="AA5" i="7"/>
  <c r="AA4" i="7"/>
  <c r="AA29" i="6"/>
  <c r="AA12" i="9" s="1"/>
  <c r="AA24" i="6"/>
  <c r="AA11" i="9" s="1"/>
  <c r="AA21" i="6"/>
  <c r="AA9" i="9" s="1"/>
  <c r="AA16" i="6"/>
  <c r="AA12" i="6"/>
  <c r="AA8" i="6"/>
  <c r="AA7" i="9" s="1"/>
  <c r="AA7" i="6"/>
  <c r="AA6" i="6"/>
  <c r="AA7" i="4"/>
  <c r="AA5" i="4"/>
  <c r="S54" i="1"/>
  <c r="S56" i="1" s="1"/>
  <c r="S45" i="1"/>
  <c r="S38" i="1"/>
  <c r="S25" i="1"/>
  <c r="V12" i="11"/>
  <c r="V14" i="11" s="1"/>
  <c r="AA17" i="2"/>
  <c r="AA41" i="3"/>
  <c r="AA33" i="3"/>
  <c r="AA18" i="3"/>
  <c r="AA5" i="3"/>
  <c r="S46" i="1" l="1"/>
  <c r="S57" i="1" s="1"/>
  <c r="AE4" i="3"/>
  <c r="AE25" i="3" s="1"/>
  <c r="AE4" i="4" s="1"/>
  <c r="AE8" i="4" s="1"/>
  <c r="AD43" i="3"/>
  <c r="AE24" i="2"/>
  <c r="AC22" i="9"/>
  <c r="AD4" i="4"/>
  <c r="AD8" i="4" s="1"/>
  <c r="AC32" i="2"/>
  <c r="AE5" i="9"/>
  <c r="AE15" i="9" s="1"/>
  <c r="AD22" i="9"/>
  <c r="AC8" i="11"/>
  <c r="AJ29" i="2" s="1"/>
  <c r="AJ28" i="2"/>
  <c r="AB18" i="2"/>
  <c r="AB20" i="2" s="1"/>
  <c r="AB22" i="2" s="1"/>
  <c r="AB24" i="2" s="1"/>
  <c r="AA32" i="7"/>
  <c r="AA8" i="8"/>
  <c r="AA14" i="8"/>
  <c r="AA30" i="7"/>
  <c r="AA28" i="7"/>
  <c r="AA43" i="8"/>
  <c r="AA14" i="9"/>
  <c r="AA29" i="7"/>
  <c r="AA17" i="7"/>
  <c r="AA34" i="7"/>
  <c r="AA21" i="8"/>
  <c r="AA26" i="7"/>
  <c r="AA36" i="8"/>
  <c r="AA11" i="2"/>
  <c r="AA27" i="7"/>
  <c r="AA10" i="7"/>
  <c r="AA34" i="6"/>
  <c r="Y19" i="9"/>
  <c r="Y18" i="9"/>
  <c r="Z42" i="8"/>
  <c r="Y42" i="8"/>
  <c r="Z41" i="8"/>
  <c r="Y41" i="8"/>
  <c r="Z40" i="8"/>
  <c r="Y40" i="8"/>
  <c r="Z39" i="8"/>
  <c r="Y39" i="8"/>
  <c r="Z35" i="8"/>
  <c r="Y35" i="8"/>
  <c r="Z34" i="8"/>
  <c r="Y34" i="8"/>
  <c r="Z26" i="8"/>
  <c r="Z27" i="8" s="1"/>
  <c r="Y26" i="8"/>
  <c r="Y27" i="8" s="1"/>
  <c r="Z20" i="8"/>
  <c r="Y20" i="8"/>
  <c r="Z19" i="8"/>
  <c r="Y19" i="8"/>
  <c r="Z18" i="8"/>
  <c r="Y18" i="8"/>
  <c r="Z17" i="8"/>
  <c r="Y17" i="8"/>
  <c r="Z13" i="8"/>
  <c r="Y13" i="8"/>
  <c r="Z12" i="8"/>
  <c r="Y12" i="8"/>
  <c r="Z11" i="8"/>
  <c r="Y11" i="8"/>
  <c r="Z7" i="8"/>
  <c r="Y7" i="8"/>
  <c r="Z6" i="8"/>
  <c r="Y6" i="8"/>
  <c r="Z5" i="8"/>
  <c r="Y5" i="8"/>
  <c r="Z25" i="7"/>
  <c r="Y25" i="7"/>
  <c r="Z23" i="7"/>
  <c r="Y23" i="7"/>
  <c r="Z22" i="7"/>
  <c r="Z31" i="7" s="1"/>
  <c r="Y22" i="7"/>
  <c r="Y31" i="7" s="1"/>
  <c r="Z21" i="7"/>
  <c r="Y21" i="7"/>
  <c r="Z20" i="7"/>
  <c r="Y20" i="7"/>
  <c r="Z19" i="7"/>
  <c r="Y19" i="7"/>
  <c r="Z18" i="7"/>
  <c r="Y18" i="7"/>
  <c r="Z16" i="7"/>
  <c r="Y16" i="7"/>
  <c r="Z14" i="7"/>
  <c r="Y14" i="7"/>
  <c r="Z13" i="7"/>
  <c r="Y13" i="7"/>
  <c r="Z12" i="7"/>
  <c r="Y12" i="7"/>
  <c r="Z11" i="7"/>
  <c r="Y11" i="7"/>
  <c r="Z9" i="7"/>
  <c r="Z32" i="7" s="1"/>
  <c r="Y9" i="7"/>
  <c r="Y32" i="7" s="1"/>
  <c r="Z8" i="7"/>
  <c r="Y8" i="7"/>
  <c r="Z7" i="7"/>
  <c r="Y7" i="7"/>
  <c r="Z6" i="7"/>
  <c r="Y6" i="7"/>
  <c r="Z5" i="7"/>
  <c r="Y5" i="7"/>
  <c r="Z4" i="7"/>
  <c r="Y4" i="7"/>
  <c r="Z29" i="6"/>
  <c r="Z12" i="9" s="1"/>
  <c r="Y29" i="6"/>
  <c r="Y12" i="9" s="1"/>
  <c r="Z24" i="6"/>
  <c r="Z11" i="9" s="1"/>
  <c r="Y24" i="6"/>
  <c r="Y11" i="9" s="1"/>
  <c r="Z21" i="6"/>
  <c r="Z9" i="9" s="1"/>
  <c r="Y21" i="6"/>
  <c r="Y9" i="9" s="1"/>
  <c r="Z16" i="6"/>
  <c r="Y16" i="6"/>
  <c r="Z12" i="6"/>
  <c r="Y12" i="6"/>
  <c r="Z8" i="6"/>
  <c r="Z7" i="9" s="1"/>
  <c r="Y8" i="6"/>
  <c r="Y7" i="9" s="1"/>
  <c r="Z7" i="6"/>
  <c r="Y7" i="6"/>
  <c r="Z6" i="6"/>
  <c r="Y6" i="6"/>
  <c r="Y7" i="4"/>
  <c r="Y5" i="4"/>
  <c r="R54" i="1"/>
  <c r="R56" i="1" s="1"/>
  <c r="R45" i="1"/>
  <c r="R46" i="1" s="1"/>
  <c r="R25" i="1"/>
  <c r="AE43" i="3" l="1"/>
  <c r="AB4" i="6"/>
  <c r="AB35" i="6" s="1"/>
  <c r="Z29" i="7"/>
  <c r="AB5" i="9"/>
  <c r="AB15" i="9" s="1"/>
  <c r="AB22" i="9" s="1"/>
  <c r="AJ18" i="9"/>
  <c r="AJ22" i="9" s="1"/>
  <c r="AJ32" i="2"/>
  <c r="AJ19" i="9"/>
  <c r="AJ23" i="9" s="1"/>
  <c r="AJ33" i="2"/>
  <c r="AB4" i="3"/>
  <c r="AB25" i="3" s="1"/>
  <c r="AA18" i="2"/>
  <c r="AA20" i="2" s="1"/>
  <c r="AA22" i="2" s="1"/>
  <c r="AA4" i="3" s="1"/>
  <c r="AA25" i="3" s="1"/>
  <c r="Y34" i="6"/>
  <c r="Y14" i="9"/>
  <c r="Z14" i="8"/>
  <c r="Z21" i="8"/>
  <c r="AA35" i="7"/>
  <c r="Y28" i="7"/>
  <c r="Y30" i="7"/>
  <c r="Y26" i="7"/>
  <c r="Y36" i="8"/>
  <c r="Z34" i="6"/>
  <c r="R57" i="1"/>
  <c r="AB33" i="2"/>
  <c r="AB32" i="2"/>
  <c r="Y8" i="8"/>
  <c r="Y21" i="8"/>
  <c r="Y10" i="7"/>
  <c r="Y17" i="7"/>
  <c r="Z10" i="7"/>
  <c r="Z17" i="7"/>
  <c r="Z34" i="7"/>
  <c r="Y14" i="8"/>
  <c r="Y43" i="8"/>
  <c r="Z14" i="9"/>
  <c r="Z28" i="7"/>
  <c r="Z30" i="7"/>
  <c r="Z26" i="7"/>
  <c r="Z8" i="8"/>
  <c r="Z36" i="8"/>
  <c r="Z43" i="8"/>
  <c r="Y29" i="7"/>
  <c r="Y34" i="7"/>
  <c r="Y27" i="7"/>
  <c r="Z27" i="7"/>
  <c r="Z38" i="3"/>
  <c r="Z37" i="3"/>
  <c r="Z36" i="3"/>
  <c r="Z35" i="3"/>
  <c r="Z34" i="3"/>
  <c r="Z32" i="3"/>
  <c r="Z29" i="3"/>
  <c r="Z27" i="3"/>
  <c r="Z7" i="4" s="1"/>
  <c r="Z26" i="3"/>
  <c r="Y41" i="3"/>
  <c r="AA4" i="4" l="1"/>
  <c r="AA8" i="4" s="1"/>
  <c r="AB4" i="4"/>
  <c r="AB8" i="4" s="1"/>
  <c r="AB23" i="9"/>
  <c r="AA24" i="2"/>
  <c r="AA43" i="3"/>
  <c r="AA4" i="6"/>
  <c r="AA35" i="6" s="1"/>
  <c r="AA5" i="9"/>
  <c r="AA15" i="9" s="1"/>
  <c r="AB43" i="3"/>
  <c r="Z35" i="7"/>
  <c r="Y35" i="7"/>
  <c r="Z41" i="3"/>
  <c r="Z33" i="3"/>
  <c r="Z5" i="4"/>
  <c r="Y33" i="3"/>
  <c r="Z18" i="3"/>
  <c r="Y18" i="3"/>
  <c r="Z5" i="3"/>
  <c r="Y5" i="3"/>
  <c r="U12" i="11"/>
  <c r="V4" i="11" s="1"/>
  <c r="Z17" i="2"/>
  <c r="Y17" i="2"/>
  <c r="W4" i="11" l="1"/>
  <c r="V6" i="11"/>
  <c r="U14" i="11"/>
  <c r="Y11" i="2"/>
  <c r="Y18" i="2" s="1"/>
  <c r="Y20" i="2" s="1"/>
  <c r="Y22" i="2" s="1"/>
  <c r="Z11" i="2"/>
  <c r="Z18" i="2" s="1"/>
  <c r="T12" i="11"/>
  <c r="T14" i="11" s="1"/>
  <c r="X19" i="9"/>
  <c r="X18" i="9"/>
  <c r="X42" i="8"/>
  <c r="X41" i="8"/>
  <c r="X40" i="8"/>
  <c r="X39" i="8"/>
  <c r="X35" i="8"/>
  <c r="X34" i="8"/>
  <c r="X26" i="8"/>
  <c r="X27" i="8" s="1"/>
  <c r="X20" i="8"/>
  <c r="X19" i="8"/>
  <c r="X18" i="8"/>
  <c r="X17" i="8"/>
  <c r="X13" i="8"/>
  <c r="X12" i="8"/>
  <c r="X11" i="8"/>
  <c r="X7" i="8"/>
  <c r="X6" i="8"/>
  <c r="X5" i="8"/>
  <c r="X25" i="7"/>
  <c r="X23" i="7"/>
  <c r="X22" i="7"/>
  <c r="X31" i="7" s="1"/>
  <c r="X21" i="7"/>
  <c r="X20" i="7"/>
  <c r="X19" i="7"/>
  <c r="X18" i="7"/>
  <c r="X16" i="7"/>
  <c r="X14" i="7"/>
  <c r="X13" i="7"/>
  <c r="X12" i="7"/>
  <c r="X11" i="7"/>
  <c r="X9" i="7"/>
  <c r="X8" i="7"/>
  <c r="X7" i="7"/>
  <c r="X6" i="7"/>
  <c r="X5" i="7"/>
  <c r="X4" i="7"/>
  <c r="X29" i="6"/>
  <c r="X12" i="9" s="1"/>
  <c r="X24" i="6"/>
  <c r="X11" i="9" s="1"/>
  <c r="X21" i="6"/>
  <c r="X9" i="9" s="1"/>
  <c r="X16" i="6"/>
  <c r="X12" i="6"/>
  <c r="X8" i="6"/>
  <c r="X7" i="9" s="1"/>
  <c r="X7" i="6"/>
  <c r="X6" i="6"/>
  <c r="X7" i="4"/>
  <c r="X5" i="4"/>
  <c r="X32" i="7" l="1"/>
  <c r="Z20" i="2"/>
  <c r="Z22" i="2" s="1"/>
  <c r="Z24" i="2" s="1"/>
  <c r="V8" i="11"/>
  <c r="AA29" i="2" s="1"/>
  <c r="AA28" i="2"/>
  <c r="W6" i="11"/>
  <c r="W8" i="11" s="1"/>
  <c r="X4" i="11"/>
  <c r="X8" i="8"/>
  <c r="X14" i="9"/>
  <c r="Y24" i="2"/>
  <c r="Y4" i="6"/>
  <c r="Y35" i="6" s="1"/>
  <c r="Y5" i="9"/>
  <c r="Y15" i="9" s="1"/>
  <c r="Y4" i="3"/>
  <c r="Y25" i="3" s="1"/>
  <c r="X30" i="7"/>
  <c r="X34" i="6"/>
  <c r="X10" i="7"/>
  <c r="X14" i="8"/>
  <c r="X28" i="7"/>
  <c r="X43" i="8"/>
  <c r="X29" i="7"/>
  <c r="X17" i="7"/>
  <c r="X34" i="7"/>
  <c r="X21" i="8"/>
  <c r="X26" i="7"/>
  <c r="X36" i="8"/>
  <c r="X27" i="7"/>
  <c r="Q54" i="1"/>
  <c r="Q56" i="1" s="1"/>
  <c r="Q45" i="1"/>
  <c r="Q38" i="1"/>
  <c r="Q25" i="1"/>
  <c r="Q46" i="1" l="1"/>
  <c r="Q57" i="1" s="1"/>
  <c r="Z4" i="6"/>
  <c r="Z35" i="6" s="1"/>
  <c r="Z4" i="3"/>
  <c r="Z25" i="3" s="1"/>
  <c r="Z4" i="4" s="1"/>
  <c r="Z8" i="4" s="1"/>
  <c r="Z5" i="9"/>
  <c r="Z15" i="9" s="1"/>
  <c r="AA18" i="9"/>
  <c r="AA22" i="9" s="1"/>
  <c r="AA32" i="2"/>
  <c r="Y4" i="11"/>
  <c r="Y6" i="11" s="1"/>
  <c r="X6" i="11"/>
  <c r="X8" i="11" s="1"/>
  <c r="AA19" i="9"/>
  <c r="AA23" i="9" s="1"/>
  <c r="AA33" i="2"/>
  <c r="Y4" i="4"/>
  <c r="Y8" i="4" s="1"/>
  <c r="Y43" i="3"/>
  <c r="Y23" i="9"/>
  <c r="Y22" i="9"/>
  <c r="Y33" i="2"/>
  <c r="Y32" i="2"/>
  <c r="X35" i="7"/>
  <c r="X33" i="3"/>
  <c r="X41" i="3"/>
  <c r="X18" i="3"/>
  <c r="X5" i="3"/>
  <c r="X17" i="2"/>
  <c r="Z43" i="3" l="1"/>
  <c r="Y8" i="11"/>
  <c r="AE29" i="2" s="1"/>
  <c r="AE28" i="2"/>
  <c r="X11" i="2"/>
  <c r="X18" i="2" s="1"/>
  <c r="X20" i="2" s="1"/>
  <c r="X22" i="2" s="1"/>
  <c r="X4" i="6" s="1"/>
  <c r="X35" i="6" s="1"/>
  <c r="G42" i="3"/>
  <c r="H42" i="3"/>
  <c r="N42" i="3"/>
  <c r="AE18" i="9" l="1"/>
  <c r="AE22" i="9" s="1"/>
  <c r="AE32" i="2"/>
  <c r="AE19" i="9"/>
  <c r="AE23" i="9" s="1"/>
  <c r="AE33" i="2"/>
  <c r="X4" i="3"/>
  <c r="X25" i="3" s="1"/>
  <c r="X24" i="2"/>
  <c r="X32" i="2" s="1"/>
  <c r="X5" i="9"/>
  <c r="X15" i="9" s="1"/>
  <c r="X23" i="9" s="1"/>
  <c r="W18" i="9"/>
  <c r="W19" i="9"/>
  <c r="W42" i="8"/>
  <c r="W41" i="8"/>
  <c r="W40" i="8"/>
  <c r="W39" i="8"/>
  <c r="W35" i="8"/>
  <c r="W34" i="8"/>
  <c r="W26" i="8"/>
  <c r="W27" i="8" s="1"/>
  <c r="W20" i="8"/>
  <c r="W19" i="8"/>
  <c r="W18" i="8"/>
  <c r="W17" i="8"/>
  <c r="W13" i="8"/>
  <c r="W12" i="8"/>
  <c r="W11" i="8"/>
  <c r="W7" i="8"/>
  <c r="W6" i="8"/>
  <c r="W5" i="8"/>
  <c r="W25" i="7"/>
  <c r="W23" i="7"/>
  <c r="W22" i="7"/>
  <c r="W31" i="7" s="1"/>
  <c r="W21" i="7"/>
  <c r="W20" i="7"/>
  <c r="W19" i="7"/>
  <c r="W18" i="7"/>
  <c r="W16" i="7"/>
  <c r="W14" i="7"/>
  <c r="W13" i="7"/>
  <c r="W12" i="7"/>
  <c r="W11" i="7"/>
  <c r="W9" i="7"/>
  <c r="W8" i="7"/>
  <c r="W7" i="7"/>
  <c r="W6" i="7"/>
  <c r="W5" i="7"/>
  <c r="W4" i="7"/>
  <c r="W29" i="6"/>
  <c r="W12" i="9" s="1"/>
  <c r="W24" i="6"/>
  <c r="W11" i="9" s="1"/>
  <c r="W21" i="6"/>
  <c r="W9" i="9" s="1"/>
  <c r="W16" i="6"/>
  <c r="W12" i="6"/>
  <c r="W8" i="6"/>
  <c r="W7" i="9" s="1"/>
  <c r="W7" i="6"/>
  <c r="W6" i="6"/>
  <c r="W7" i="4"/>
  <c r="W5" i="4"/>
  <c r="P54" i="1"/>
  <c r="P56" i="1" s="1"/>
  <c r="P45" i="1"/>
  <c r="P38" i="1"/>
  <c r="P25" i="1"/>
  <c r="V18" i="3"/>
  <c r="U18" i="3"/>
  <c r="T18" i="3"/>
  <c r="S18" i="3"/>
  <c r="R18" i="3"/>
  <c r="P18" i="3"/>
  <c r="O18" i="3"/>
  <c r="L18" i="3"/>
  <c r="K18" i="3"/>
  <c r="J18" i="3"/>
  <c r="I18" i="3"/>
  <c r="H18" i="3"/>
  <c r="G18" i="3"/>
  <c r="F18" i="3"/>
  <c r="E18" i="3"/>
  <c r="D18" i="3"/>
  <c r="C18" i="3"/>
  <c r="B18" i="3"/>
  <c r="W5" i="3"/>
  <c r="V16" i="3"/>
  <c r="V5" i="3" s="1"/>
  <c r="T16" i="3"/>
  <c r="T5" i="3" s="1"/>
  <c r="S16" i="3"/>
  <c r="S5" i="3" s="1"/>
  <c r="Q16" i="3"/>
  <c r="O16" i="3"/>
  <c r="O5" i="3" s="1"/>
  <c r="N16" i="3"/>
  <c r="M16" i="3"/>
  <c r="M5" i="3" s="1"/>
  <c r="L16" i="3"/>
  <c r="L5" i="3" s="1"/>
  <c r="J16" i="3"/>
  <c r="I16" i="3"/>
  <c r="I5" i="3" s="1"/>
  <c r="H16" i="3"/>
  <c r="G16" i="3"/>
  <c r="E16" i="3"/>
  <c r="D16" i="3"/>
  <c r="C16" i="3"/>
  <c r="B16" i="3"/>
  <c r="W18" i="3"/>
  <c r="R16" i="3"/>
  <c r="R5" i="3" s="1"/>
  <c r="W41" i="3"/>
  <c r="W33" i="3"/>
  <c r="S12" i="11"/>
  <c r="S14" i="11" s="1"/>
  <c r="W17" i="2"/>
  <c r="W32" i="7" l="1"/>
  <c r="W14" i="8"/>
  <c r="X4" i="4"/>
  <c r="X8" i="4" s="1"/>
  <c r="X33" i="2"/>
  <c r="W8" i="8"/>
  <c r="W28" i="7"/>
  <c r="X43" i="3"/>
  <c r="X22" i="9"/>
  <c r="W11" i="2"/>
  <c r="W18" i="2" s="1"/>
  <c r="W20" i="2" s="1"/>
  <c r="W22" i="2" s="1"/>
  <c r="W34" i="7"/>
  <c r="W36" i="8"/>
  <c r="W29" i="7"/>
  <c r="W17" i="7"/>
  <c r="W21" i="8"/>
  <c r="W30" i="7"/>
  <c r="W14" i="9"/>
  <c r="W26" i="7"/>
  <c r="W43" i="8"/>
  <c r="W27" i="7"/>
  <c r="W10" i="7"/>
  <c r="W34" i="6"/>
  <c r="P46" i="1"/>
  <c r="P57" i="1" s="1"/>
  <c r="V42" i="8"/>
  <c r="V41" i="8"/>
  <c r="V40" i="8"/>
  <c r="V39" i="8"/>
  <c r="V35" i="8"/>
  <c r="V34" i="8"/>
  <c r="V26" i="8"/>
  <c r="V27" i="8" s="1"/>
  <c r="V20" i="8"/>
  <c r="V19" i="8"/>
  <c r="V18" i="8"/>
  <c r="V17" i="8"/>
  <c r="V13" i="8"/>
  <c r="V12" i="8"/>
  <c r="V11" i="8"/>
  <c r="V7" i="8"/>
  <c r="V6" i="8"/>
  <c r="V5" i="8"/>
  <c r="V25" i="7"/>
  <c r="V23" i="7"/>
  <c r="V22" i="7"/>
  <c r="V31" i="7" s="1"/>
  <c r="V21" i="7"/>
  <c r="V20" i="7"/>
  <c r="V19" i="7"/>
  <c r="V18" i="7"/>
  <c r="V16" i="7"/>
  <c r="V14" i="7"/>
  <c r="V13" i="7"/>
  <c r="V12" i="7"/>
  <c r="V11" i="7"/>
  <c r="V9" i="7"/>
  <c r="V8" i="7"/>
  <c r="V7" i="7"/>
  <c r="V6" i="7"/>
  <c r="V5" i="7"/>
  <c r="V4" i="7"/>
  <c r="V29" i="6"/>
  <c r="V12" i="9" s="1"/>
  <c r="V24" i="6"/>
  <c r="V11" i="9" s="1"/>
  <c r="V21" i="6"/>
  <c r="V9" i="9" s="1"/>
  <c r="V16" i="6"/>
  <c r="V12" i="6"/>
  <c r="V8" i="6"/>
  <c r="V7" i="9" s="1"/>
  <c r="V7" i="6"/>
  <c r="V6" i="6"/>
  <c r="V7" i="4"/>
  <c r="V5" i="4"/>
  <c r="V41" i="3"/>
  <c r="V33" i="3"/>
  <c r="R12" i="11"/>
  <c r="R14" i="11" s="1"/>
  <c r="V17" i="2"/>
  <c r="O54" i="1"/>
  <c r="O56" i="1" s="1"/>
  <c r="O45" i="1"/>
  <c r="O38" i="1"/>
  <c r="O25" i="1"/>
  <c r="V32" i="7" l="1"/>
  <c r="O46" i="1"/>
  <c r="O57" i="1" s="1"/>
  <c r="V11" i="2"/>
  <c r="V18" i="2" s="1"/>
  <c r="V20" i="2" s="1"/>
  <c r="V22" i="2" s="1"/>
  <c r="V4" i="6" s="1"/>
  <c r="V36" i="8"/>
  <c r="W35" i="7"/>
  <c r="V30" i="7"/>
  <c r="V14" i="9"/>
  <c r="W24" i="2"/>
  <c r="W5" i="9"/>
  <c r="W15" i="9" s="1"/>
  <c r="W4" i="3"/>
  <c r="W25" i="3" s="1"/>
  <c r="W4" i="6"/>
  <c r="W35" i="6" s="1"/>
  <c r="V43" i="8"/>
  <c r="V26" i="7"/>
  <c r="V28" i="7"/>
  <c r="V14" i="8"/>
  <c r="V10" i="7"/>
  <c r="V29" i="7"/>
  <c r="V17" i="7"/>
  <c r="V34" i="7"/>
  <c r="V8" i="8"/>
  <c r="V34" i="6"/>
  <c r="V21" i="8"/>
  <c r="V27" i="7"/>
  <c r="C12" i="11"/>
  <c r="C14" i="11" s="1"/>
  <c r="D12" i="11"/>
  <c r="D14" i="11" s="1"/>
  <c r="E12" i="11"/>
  <c r="F4" i="11" s="1"/>
  <c r="F12" i="11"/>
  <c r="F14" i="11" s="1"/>
  <c r="G12" i="11"/>
  <c r="G14" i="11" s="1"/>
  <c r="H12" i="11"/>
  <c r="H14" i="11" s="1"/>
  <c r="I12" i="11"/>
  <c r="J4" i="11" s="1"/>
  <c r="J12" i="11"/>
  <c r="J14" i="11" s="1"/>
  <c r="K12" i="11"/>
  <c r="L12" i="11"/>
  <c r="L14" i="11" s="1"/>
  <c r="M12" i="11"/>
  <c r="N4" i="11" s="1"/>
  <c r="N12" i="11"/>
  <c r="N14" i="11" s="1"/>
  <c r="O12" i="11"/>
  <c r="O14" i="11" s="1"/>
  <c r="P12" i="11"/>
  <c r="P14" i="11" s="1"/>
  <c r="Q12" i="11"/>
  <c r="R4" i="11" s="1"/>
  <c r="B12" i="11"/>
  <c r="B14" i="11" s="1"/>
  <c r="T19" i="9"/>
  <c r="T18" i="9"/>
  <c r="T42" i="8"/>
  <c r="T41" i="8"/>
  <c r="T40" i="8"/>
  <c r="T39" i="8"/>
  <c r="U35" i="8"/>
  <c r="T35" i="8"/>
  <c r="U34" i="8"/>
  <c r="T34" i="8"/>
  <c r="T26" i="8"/>
  <c r="T27" i="8" s="1"/>
  <c r="U20" i="8"/>
  <c r="T20" i="8"/>
  <c r="U19" i="8"/>
  <c r="T19" i="8"/>
  <c r="U18" i="8"/>
  <c r="T18" i="8"/>
  <c r="U17" i="8"/>
  <c r="T17" i="8"/>
  <c r="U13" i="8"/>
  <c r="T13" i="8"/>
  <c r="U12" i="8"/>
  <c r="T12" i="8"/>
  <c r="U11" i="8"/>
  <c r="T11" i="8"/>
  <c r="U7" i="8"/>
  <c r="T7" i="8"/>
  <c r="U6" i="8"/>
  <c r="T6" i="8"/>
  <c r="U5" i="8"/>
  <c r="T5" i="8"/>
  <c r="U25" i="7"/>
  <c r="T25" i="7"/>
  <c r="T23" i="7"/>
  <c r="T22" i="7"/>
  <c r="T31" i="7" s="1"/>
  <c r="U21" i="7"/>
  <c r="T21" i="7"/>
  <c r="U20" i="7"/>
  <c r="T20" i="7"/>
  <c r="U19" i="7"/>
  <c r="T19" i="7"/>
  <c r="U18" i="7"/>
  <c r="T18" i="7"/>
  <c r="T16" i="7"/>
  <c r="U14" i="7"/>
  <c r="T14" i="7"/>
  <c r="U13" i="7"/>
  <c r="T13" i="7"/>
  <c r="U12" i="7"/>
  <c r="T12" i="7"/>
  <c r="U11" i="7"/>
  <c r="T11" i="7"/>
  <c r="U9" i="7"/>
  <c r="T9" i="7"/>
  <c r="T8" i="7"/>
  <c r="U7" i="7"/>
  <c r="T7" i="7"/>
  <c r="U6" i="7"/>
  <c r="T6" i="7"/>
  <c r="U5" i="7"/>
  <c r="T5" i="7"/>
  <c r="U4" i="7"/>
  <c r="T4" i="7"/>
  <c r="T29" i="6"/>
  <c r="T12" i="9" s="1"/>
  <c r="U33" i="6"/>
  <c r="U42" i="8" s="1"/>
  <c r="U32" i="6"/>
  <c r="U16" i="7" s="1"/>
  <c r="U31" i="6"/>
  <c r="U40" i="8" s="1"/>
  <c r="U30" i="6"/>
  <c r="U39" i="8" s="1"/>
  <c r="U24" i="6"/>
  <c r="U11" i="9" s="1"/>
  <c r="T24" i="6"/>
  <c r="T11" i="9" s="1"/>
  <c r="U23" i="6"/>
  <c r="U21" i="6" s="1"/>
  <c r="U9" i="9" s="1"/>
  <c r="T21" i="6"/>
  <c r="T9" i="9" s="1"/>
  <c r="U16" i="6"/>
  <c r="T16" i="6"/>
  <c r="U12" i="6"/>
  <c r="T12" i="6"/>
  <c r="U8" i="6"/>
  <c r="U7" i="9" s="1"/>
  <c r="T8" i="6"/>
  <c r="T7" i="9" s="1"/>
  <c r="U7" i="6"/>
  <c r="T7" i="6"/>
  <c r="U6" i="6"/>
  <c r="T6" i="6"/>
  <c r="T7" i="4"/>
  <c r="T5" i="4"/>
  <c r="U17" i="2"/>
  <c r="T17" i="2"/>
  <c r="U38" i="3"/>
  <c r="U26" i="3"/>
  <c r="U5" i="4" s="1"/>
  <c r="U34" i="3"/>
  <c r="U36" i="3"/>
  <c r="U35" i="3"/>
  <c r="U32" i="3"/>
  <c r="U29" i="3"/>
  <c r="U27" i="3"/>
  <c r="U7" i="4" s="1"/>
  <c r="K15" i="3"/>
  <c r="K16" i="3" s="1"/>
  <c r="K5" i="3" s="1"/>
  <c r="U15" i="3"/>
  <c r="U16" i="3" s="1"/>
  <c r="U5" i="3" s="1"/>
  <c r="P15" i="3"/>
  <c r="P16" i="3" s="1"/>
  <c r="P5" i="3" s="1"/>
  <c r="F15" i="3"/>
  <c r="F16" i="3" s="1"/>
  <c r="S41" i="3"/>
  <c r="R41" i="3"/>
  <c r="P41" i="3"/>
  <c r="O41" i="3"/>
  <c r="N41" i="3"/>
  <c r="M41" i="3"/>
  <c r="L41" i="3"/>
  <c r="K41" i="3"/>
  <c r="J41" i="3"/>
  <c r="I41" i="3"/>
  <c r="H41" i="3"/>
  <c r="F41" i="3"/>
  <c r="E41" i="3"/>
  <c r="D41" i="3"/>
  <c r="C41" i="3"/>
  <c r="B41" i="3"/>
  <c r="T41" i="3"/>
  <c r="T33" i="3"/>
  <c r="N54" i="1"/>
  <c r="N56" i="1" s="1"/>
  <c r="W43" i="3" l="1"/>
  <c r="E14" i="11"/>
  <c r="T32" i="7"/>
  <c r="M14" i="11"/>
  <c r="I14" i="11"/>
  <c r="Q14" i="11"/>
  <c r="V24" i="2"/>
  <c r="U32" i="7"/>
  <c r="V4" i="3"/>
  <c r="V25" i="3" s="1"/>
  <c r="V5" i="9"/>
  <c r="V15" i="9" s="1"/>
  <c r="T11" i="2"/>
  <c r="T18" i="2" s="1"/>
  <c r="T20" i="2" s="1"/>
  <c r="T22" i="2" s="1"/>
  <c r="T24" i="2" s="1"/>
  <c r="U29" i="6"/>
  <c r="U12" i="9" s="1"/>
  <c r="U14" i="9" s="1"/>
  <c r="U22" i="7"/>
  <c r="U31" i="7" s="1"/>
  <c r="U41" i="8"/>
  <c r="U43" i="8" s="1"/>
  <c r="U29" i="7"/>
  <c r="U8" i="7"/>
  <c r="U10" i="7" s="1"/>
  <c r="U23" i="7"/>
  <c r="U26" i="8"/>
  <c r="U27" i="8" s="1"/>
  <c r="R6" i="11"/>
  <c r="S4" i="11"/>
  <c r="V35" i="6"/>
  <c r="U14" i="8"/>
  <c r="V35" i="7"/>
  <c r="W4" i="4"/>
  <c r="W8" i="4" s="1"/>
  <c r="W22" i="9"/>
  <c r="W23" i="9"/>
  <c r="W32" i="2"/>
  <c r="W33" i="2"/>
  <c r="T28" i="7"/>
  <c r="T30" i="7"/>
  <c r="T26" i="7"/>
  <c r="T8" i="8"/>
  <c r="T14" i="8"/>
  <c r="T36" i="8"/>
  <c r="T43" i="8"/>
  <c r="T14" i="9"/>
  <c r="U36" i="8"/>
  <c r="U33" i="3"/>
  <c r="T21" i="8"/>
  <c r="U21" i="8"/>
  <c r="U17" i="7"/>
  <c r="T10" i="7"/>
  <c r="T34" i="6"/>
  <c r="U28" i="7"/>
  <c r="U30" i="7"/>
  <c r="U8" i="8"/>
  <c r="T29" i="7"/>
  <c r="T34" i="7"/>
  <c r="T27" i="7"/>
  <c r="U11" i="2"/>
  <c r="U18" i="2" s="1"/>
  <c r="U27" i="7"/>
  <c r="T17" i="7"/>
  <c r="N45" i="1"/>
  <c r="N38" i="1"/>
  <c r="N25" i="1"/>
  <c r="V43" i="3" l="1"/>
  <c r="U34" i="6"/>
  <c r="U20" i="2"/>
  <c r="U22" i="2" s="1"/>
  <c r="U5" i="9" s="1"/>
  <c r="U15" i="9" s="1"/>
  <c r="U34" i="7"/>
  <c r="U35" i="7" s="1"/>
  <c r="U26" i="7"/>
  <c r="T4" i="3"/>
  <c r="T25" i="3" s="1"/>
  <c r="T4" i="6"/>
  <c r="T35" i="6" s="1"/>
  <c r="T5" i="9"/>
  <c r="T15" i="9" s="1"/>
  <c r="T22" i="9" s="1"/>
  <c r="V4" i="4"/>
  <c r="V8" i="4" s="1"/>
  <c r="R8" i="11"/>
  <c r="V29" i="2" s="1"/>
  <c r="V28" i="2"/>
  <c r="N46" i="1"/>
  <c r="N57" i="1" s="1"/>
  <c r="T4" i="11"/>
  <c r="S6" i="11"/>
  <c r="S8" i="11" s="1"/>
  <c r="T35" i="7"/>
  <c r="T32" i="2"/>
  <c r="T33" i="2"/>
  <c r="S19" i="9"/>
  <c r="S18" i="9"/>
  <c r="S5" i="8"/>
  <c r="S6" i="8"/>
  <c r="S7" i="8"/>
  <c r="S11" i="8"/>
  <c r="S12" i="8"/>
  <c r="S13" i="8"/>
  <c r="S17" i="8"/>
  <c r="S18" i="8"/>
  <c r="S19" i="8"/>
  <c r="S20" i="8"/>
  <c r="S26" i="8"/>
  <c r="S27" i="8" s="1"/>
  <c r="S34" i="8"/>
  <c r="S35" i="8"/>
  <c r="S39" i="8"/>
  <c r="S40" i="8"/>
  <c r="S41" i="8"/>
  <c r="S42" i="8"/>
  <c r="S25" i="7"/>
  <c r="S23" i="7"/>
  <c r="S22" i="7"/>
  <c r="S31" i="7" s="1"/>
  <c r="S21" i="7"/>
  <c r="S20" i="7"/>
  <c r="S19" i="7"/>
  <c r="S18" i="7"/>
  <c r="S16" i="7"/>
  <c r="S14" i="7"/>
  <c r="S13" i="7"/>
  <c r="S12" i="7"/>
  <c r="S11" i="7"/>
  <c r="S9" i="7"/>
  <c r="S8" i="7"/>
  <c r="S7" i="7"/>
  <c r="S6" i="7"/>
  <c r="S5" i="7"/>
  <c r="S4" i="7"/>
  <c r="S29" i="6"/>
  <c r="S12" i="9" s="1"/>
  <c r="S24" i="6"/>
  <c r="S11" i="9" s="1"/>
  <c r="S21" i="6"/>
  <c r="S9" i="9" s="1"/>
  <c r="S16" i="6"/>
  <c r="S12" i="6"/>
  <c r="S8" i="6"/>
  <c r="S7" i="9" s="1"/>
  <c r="S7" i="6"/>
  <c r="S6" i="6"/>
  <c r="S7" i="4"/>
  <c r="S5" i="4"/>
  <c r="S33" i="3"/>
  <c r="S17" i="2"/>
  <c r="M54" i="1"/>
  <c r="M56" i="1" s="1"/>
  <c r="M45" i="1"/>
  <c r="M38" i="1"/>
  <c r="M25" i="1"/>
  <c r="T43" i="3" l="1"/>
  <c r="U4" i="3"/>
  <c r="U25" i="3" s="1"/>
  <c r="U4" i="6"/>
  <c r="U35" i="6" s="1"/>
  <c r="U24" i="2"/>
  <c r="S32" i="7"/>
  <c r="T4" i="4"/>
  <c r="T8" i="4" s="1"/>
  <c r="M46" i="1"/>
  <c r="T6" i="11"/>
  <c r="T8" i="11" s="1"/>
  <c r="U4" i="11"/>
  <c r="U6" i="11" s="1"/>
  <c r="T23" i="9"/>
  <c r="V18" i="9"/>
  <c r="V22" i="9" s="1"/>
  <c r="V32" i="2"/>
  <c r="V19" i="9"/>
  <c r="V23" i="9" s="1"/>
  <c r="V33" i="2"/>
  <c r="S8" i="8"/>
  <c r="S34" i="6"/>
  <c r="S14" i="8"/>
  <c r="S28" i="7"/>
  <c r="S29" i="7"/>
  <c r="S34" i="7"/>
  <c r="S30" i="7"/>
  <c r="S26" i="7"/>
  <c r="S17" i="7"/>
  <c r="S11" i="2"/>
  <c r="S18" i="2" s="1"/>
  <c r="S20" i="2" s="1"/>
  <c r="S22" i="2" s="1"/>
  <c r="S5" i="9" s="1"/>
  <c r="S14" i="9"/>
  <c r="S10" i="7"/>
  <c r="S43" i="8"/>
  <c r="S21" i="8"/>
  <c r="S27" i="7"/>
  <c r="S36" i="8"/>
  <c r="Z28" i="2" l="1"/>
  <c r="U8" i="11"/>
  <c r="Z29" i="2" s="1"/>
  <c r="U4" i="4"/>
  <c r="U8" i="4" s="1"/>
  <c r="S15" i="9"/>
  <c r="S22" i="9" s="1"/>
  <c r="S35" i="7"/>
  <c r="S4" i="3"/>
  <c r="S24" i="2"/>
  <c r="S33" i="2" s="1"/>
  <c r="S4" i="6"/>
  <c r="S35" i="6" s="1"/>
  <c r="R18" i="9"/>
  <c r="R19" i="9"/>
  <c r="R5" i="8"/>
  <c r="R6" i="8"/>
  <c r="R7" i="8"/>
  <c r="R11" i="8"/>
  <c r="R12" i="8"/>
  <c r="R13" i="8"/>
  <c r="R17" i="8"/>
  <c r="R18" i="8"/>
  <c r="R19" i="8"/>
  <c r="R20" i="8"/>
  <c r="R26" i="8"/>
  <c r="R27" i="8" s="1"/>
  <c r="R34" i="8"/>
  <c r="R35" i="8"/>
  <c r="R39" i="8"/>
  <c r="R40" i="8"/>
  <c r="R41" i="8"/>
  <c r="R42" i="8"/>
  <c r="R4" i="7"/>
  <c r="R5" i="7"/>
  <c r="R6" i="7"/>
  <c r="R7" i="7"/>
  <c r="R8" i="7"/>
  <c r="R9" i="7"/>
  <c r="R11" i="7"/>
  <c r="R12" i="7"/>
  <c r="R13" i="7"/>
  <c r="R14" i="7"/>
  <c r="R16" i="7"/>
  <c r="R18" i="7"/>
  <c r="R19" i="7"/>
  <c r="R20" i="7"/>
  <c r="R21" i="7"/>
  <c r="R22" i="7"/>
  <c r="R31" i="7" s="1"/>
  <c r="R23" i="7"/>
  <c r="R25" i="7"/>
  <c r="R29" i="6"/>
  <c r="R12" i="9" s="1"/>
  <c r="R24" i="6"/>
  <c r="R11" i="9" s="1"/>
  <c r="R21" i="6"/>
  <c r="R9" i="9" s="1"/>
  <c r="R16" i="6"/>
  <c r="R12" i="6"/>
  <c r="R6" i="6"/>
  <c r="R7" i="6"/>
  <c r="R8" i="6"/>
  <c r="R7" i="9" s="1"/>
  <c r="R5" i="4"/>
  <c r="R7" i="4"/>
  <c r="R33" i="3"/>
  <c r="R17" i="2"/>
  <c r="L54" i="1"/>
  <c r="L56" i="1" s="1"/>
  <c r="L45" i="1"/>
  <c r="L38" i="1"/>
  <c r="L25" i="1"/>
  <c r="R32" i="7" l="1"/>
  <c r="L46" i="1"/>
  <c r="L57" i="1" s="1"/>
  <c r="Z19" i="9"/>
  <c r="Z23" i="9" s="1"/>
  <c r="Z33" i="2"/>
  <c r="Z18" i="9"/>
  <c r="Z22" i="9" s="1"/>
  <c r="Z32" i="2"/>
  <c r="R34" i="7"/>
  <c r="S25" i="3"/>
  <c r="S32" i="2"/>
  <c r="R11" i="2"/>
  <c r="R18" i="2" s="1"/>
  <c r="R20" i="2" s="1"/>
  <c r="R22" i="2" s="1"/>
  <c r="R5" i="9" s="1"/>
  <c r="S23" i="9"/>
  <c r="R28" i="7"/>
  <c r="R17" i="7"/>
  <c r="R29" i="7"/>
  <c r="R8" i="8"/>
  <c r="R14" i="8"/>
  <c r="R14" i="9"/>
  <c r="R34" i="6"/>
  <c r="R21" i="8"/>
  <c r="R26" i="7"/>
  <c r="R36" i="8"/>
  <c r="R30" i="7"/>
  <c r="R43" i="8"/>
  <c r="R10" i="7"/>
  <c r="R27" i="7"/>
  <c r="R4" i="6" l="1"/>
  <c r="R35" i="6" s="1"/>
  <c r="S43" i="3"/>
  <c r="S4" i="4"/>
  <c r="S8" i="4" s="1"/>
  <c r="R4" i="3"/>
  <c r="R15" i="9"/>
  <c r="R22" i="9" s="1"/>
  <c r="R24" i="2"/>
  <c r="R32" i="2" s="1"/>
  <c r="R35" i="7"/>
  <c r="R33" i="2" l="1"/>
  <c r="R23" i="9"/>
  <c r="R25" i="3"/>
  <c r="G24" i="6"/>
  <c r="F24" i="6"/>
  <c r="E24" i="6"/>
  <c r="D24" i="6"/>
  <c r="C24" i="6"/>
  <c r="B24" i="6"/>
  <c r="R43" i="3" l="1"/>
  <c r="R4" i="4"/>
  <c r="R8" i="4" s="1"/>
  <c r="F44" i="3"/>
  <c r="N5" i="8" l="1"/>
  <c r="O5" i="8"/>
  <c r="N33" i="2" l="1"/>
  <c r="I33" i="2"/>
  <c r="N32" i="2"/>
  <c r="I32" i="2"/>
  <c r="O4" i="11" l="1"/>
  <c r="L4" i="11"/>
  <c r="I4" i="11"/>
  <c r="E4" i="11"/>
  <c r="D4" i="11"/>
  <c r="C4" i="11"/>
  <c r="D10" i="3"/>
  <c r="D5" i="3" s="1"/>
  <c r="E25" i="1"/>
  <c r="C10" i="3"/>
  <c r="C5" i="3" s="1"/>
  <c r="D25" i="1"/>
  <c r="F10" i="3"/>
  <c r="F5" i="3" s="1"/>
  <c r="J10" i="3"/>
  <c r="J5" i="3" s="1"/>
  <c r="E10" i="3"/>
  <c r="E5" i="3" s="1"/>
  <c r="F22" i="2"/>
  <c r="F24" i="2" s="1"/>
  <c r="F17" i="2"/>
  <c r="F42" i="8"/>
  <c r="E42" i="8"/>
  <c r="D42" i="8"/>
  <c r="C42" i="8"/>
  <c r="B42" i="8"/>
  <c r="F41" i="8"/>
  <c r="E41" i="8"/>
  <c r="D41" i="8"/>
  <c r="C41" i="8"/>
  <c r="B41" i="8"/>
  <c r="F40" i="8"/>
  <c r="E40" i="8"/>
  <c r="D40" i="8"/>
  <c r="C40" i="8"/>
  <c r="B40" i="8"/>
  <c r="F39" i="8"/>
  <c r="E39" i="8"/>
  <c r="D39" i="8"/>
  <c r="C39" i="8"/>
  <c r="B39" i="8"/>
  <c r="F35" i="8"/>
  <c r="E35" i="8"/>
  <c r="D35" i="8"/>
  <c r="C35" i="8"/>
  <c r="B35" i="8"/>
  <c r="F34" i="8"/>
  <c r="E34" i="8"/>
  <c r="D34" i="8"/>
  <c r="C34" i="8"/>
  <c r="B34" i="8"/>
  <c r="F29" i="6"/>
  <c r="E29" i="6"/>
  <c r="D29" i="6"/>
  <c r="C29" i="6"/>
  <c r="B29" i="6"/>
  <c r="F21" i="6"/>
  <c r="E21" i="6"/>
  <c r="D21" i="6"/>
  <c r="C21" i="6"/>
  <c r="B21" i="6"/>
  <c r="F16" i="6"/>
  <c r="E16" i="6"/>
  <c r="D16" i="6"/>
  <c r="C16" i="6"/>
  <c r="B16" i="6"/>
  <c r="F12" i="6"/>
  <c r="E12" i="6"/>
  <c r="D12" i="6"/>
  <c r="C12" i="6"/>
  <c r="B12" i="6"/>
  <c r="F8" i="6"/>
  <c r="E8" i="6"/>
  <c r="D8" i="6"/>
  <c r="C8" i="6"/>
  <c r="B8" i="6"/>
  <c r="G10" i="3"/>
  <c r="B10" i="3"/>
  <c r="B5" i="3" s="1"/>
  <c r="E54" i="1"/>
  <c r="E56" i="1" s="1"/>
  <c r="D54" i="1"/>
  <c r="D56" i="1" s="1"/>
  <c r="C54" i="1"/>
  <c r="C56" i="1" s="1"/>
  <c r="B54" i="1"/>
  <c r="B56" i="1" s="1"/>
  <c r="J38" i="1"/>
  <c r="I38" i="1"/>
  <c r="F38" i="1"/>
  <c r="E38" i="1"/>
  <c r="D38" i="1"/>
  <c r="C38" i="1"/>
  <c r="B38" i="1"/>
  <c r="C25" i="1"/>
  <c r="E45" i="1"/>
  <c r="D45" i="1"/>
  <c r="C45" i="1"/>
  <c r="B45" i="1"/>
  <c r="B25" i="1"/>
  <c r="O6" i="11" l="1"/>
  <c r="O8" i="11" s="1"/>
  <c r="P4" i="11"/>
  <c r="B36" i="8"/>
  <c r="F36" i="8"/>
  <c r="B46" i="1"/>
  <c r="B57" i="1" s="1"/>
  <c r="C43" i="8"/>
  <c r="D36" i="8"/>
  <c r="E43" i="8"/>
  <c r="D43" i="8"/>
  <c r="B43" i="8"/>
  <c r="F43" i="8"/>
  <c r="C36" i="8"/>
  <c r="G4" i="11"/>
  <c r="G6" i="11" s="1"/>
  <c r="G8" i="11" s="1"/>
  <c r="K4" i="11"/>
  <c r="K6" i="11" s="1"/>
  <c r="K8" i="11" s="1"/>
  <c r="H4" i="11"/>
  <c r="H6" i="11" s="1"/>
  <c r="H8" i="11" s="1"/>
  <c r="M4" i="11"/>
  <c r="M6" i="11" s="1"/>
  <c r="P28" i="2" s="1"/>
  <c r="P18" i="9" s="1"/>
  <c r="E46" i="1"/>
  <c r="E57" i="1" s="1"/>
  <c r="D46" i="1"/>
  <c r="D57" i="1" s="1"/>
  <c r="E36" i="8"/>
  <c r="C46" i="1"/>
  <c r="C57" i="1" s="1"/>
  <c r="P33" i="3"/>
  <c r="O33" i="3"/>
  <c r="N33" i="3"/>
  <c r="M33" i="3"/>
  <c r="L33" i="3"/>
  <c r="K33" i="3"/>
  <c r="J33" i="3"/>
  <c r="I33" i="3"/>
  <c r="H33" i="3"/>
  <c r="G33" i="3"/>
  <c r="F33" i="3"/>
  <c r="E33" i="3"/>
  <c r="D33" i="3"/>
  <c r="C33" i="3"/>
  <c r="B33" i="3"/>
  <c r="N4" i="3"/>
  <c r="I4" i="3"/>
  <c r="I25" i="3" s="1"/>
  <c r="F4" i="3"/>
  <c r="F25" i="3" s="1"/>
  <c r="P7" i="4"/>
  <c r="O7" i="4"/>
  <c r="N7" i="4"/>
  <c r="M7" i="4"/>
  <c r="L7" i="4"/>
  <c r="K7" i="4"/>
  <c r="J7" i="4"/>
  <c r="I7" i="4"/>
  <c r="H7" i="4"/>
  <c r="G7" i="4"/>
  <c r="F7" i="4"/>
  <c r="E7" i="4"/>
  <c r="D7" i="4"/>
  <c r="C7" i="4"/>
  <c r="B7" i="4"/>
  <c r="Q7" i="4"/>
  <c r="P5" i="4"/>
  <c r="O5" i="4"/>
  <c r="N5" i="4"/>
  <c r="M5" i="4"/>
  <c r="L5" i="4"/>
  <c r="K5" i="4"/>
  <c r="J5" i="4"/>
  <c r="I5" i="4"/>
  <c r="H5" i="4"/>
  <c r="G5" i="4"/>
  <c r="F5" i="4"/>
  <c r="E5" i="4"/>
  <c r="D5" i="4"/>
  <c r="C5" i="4"/>
  <c r="B5" i="4"/>
  <c r="Q5" i="4"/>
  <c r="P7" i="6"/>
  <c r="O7" i="6"/>
  <c r="N7" i="6"/>
  <c r="M7" i="6"/>
  <c r="L7" i="6"/>
  <c r="K7" i="6"/>
  <c r="J7" i="6"/>
  <c r="I7" i="6"/>
  <c r="H7" i="6"/>
  <c r="G7" i="6"/>
  <c r="F7" i="6"/>
  <c r="E7" i="6"/>
  <c r="D7" i="6"/>
  <c r="C7" i="6"/>
  <c r="B7" i="6"/>
  <c r="Q7" i="6"/>
  <c r="P6" i="6"/>
  <c r="O6" i="6"/>
  <c r="N6" i="6"/>
  <c r="M6" i="6"/>
  <c r="L6" i="6"/>
  <c r="K6" i="6"/>
  <c r="J6" i="6"/>
  <c r="I6" i="6"/>
  <c r="H6" i="6"/>
  <c r="G6" i="6"/>
  <c r="F6" i="6"/>
  <c r="F34" i="6" s="1"/>
  <c r="E6" i="6"/>
  <c r="E34" i="6" s="1"/>
  <c r="D6" i="6"/>
  <c r="D34" i="6" s="1"/>
  <c r="C6" i="6"/>
  <c r="B6" i="6"/>
  <c r="B34" i="6" s="1"/>
  <c r="Q6" i="6"/>
  <c r="N4" i="6"/>
  <c r="I4" i="6"/>
  <c r="F4" i="6"/>
  <c r="P25" i="7"/>
  <c r="O25" i="7"/>
  <c r="N25" i="7"/>
  <c r="M25" i="7"/>
  <c r="L25" i="7"/>
  <c r="K25" i="7"/>
  <c r="J25" i="7"/>
  <c r="I25" i="7"/>
  <c r="H25" i="7"/>
  <c r="G25" i="7"/>
  <c r="F25" i="7"/>
  <c r="E25" i="7"/>
  <c r="D25" i="7"/>
  <c r="C25" i="7"/>
  <c r="B25" i="7"/>
  <c r="P23" i="7"/>
  <c r="O23" i="7"/>
  <c r="N23" i="7"/>
  <c r="M23" i="7"/>
  <c r="L23" i="7"/>
  <c r="K23" i="7"/>
  <c r="J23" i="7"/>
  <c r="I23" i="7"/>
  <c r="H23" i="7"/>
  <c r="G23" i="7"/>
  <c r="F23" i="7"/>
  <c r="E23" i="7"/>
  <c r="D23" i="7"/>
  <c r="C23" i="7"/>
  <c r="B23" i="7"/>
  <c r="P22" i="7"/>
  <c r="P31" i="7" s="1"/>
  <c r="O22" i="7"/>
  <c r="O31" i="7" s="1"/>
  <c r="N22" i="7"/>
  <c r="N31" i="7" s="1"/>
  <c r="M22" i="7"/>
  <c r="M31" i="7" s="1"/>
  <c r="L22" i="7"/>
  <c r="L31" i="7" s="1"/>
  <c r="K22" i="7"/>
  <c r="K31" i="7" s="1"/>
  <c r="J22" i="7"/>
  <c r="J31" i="7" s="1"/>
  <c r="I22" i="7"/>
  <c r="I31" i="7" s="1"/>
  <c r="H22" i="7"/>
  <c r="H31" i="7" s="1"/>
  <c r="G22" i="7"/>
  <c r="G31" i="7" s="1"/>
  <c r="F22" i="7"/>
  <c r="F31" i="7" s="1"/>
  <c r="E22" i="7"/>
  <c r="E31" i="7" s="1"/>
  <c r="D22" i="7"/>
  <c r="D31" i="7" s="1"/>
  <c r="C22" i="7"/>
  <c r="C31" i="7" s="1"/>
  <c r="B22" i="7"/>
  <c r="B31" i="7" s="1"/>
  <c r="P21" i="7"/>
  <c r="O21" i="7"/>
  <c r="N21" i="7"/>
  <c r="M21" i="7"/>
  <c r="L21" i="7"/>
  <c r="K21" i="7"/>
  <c r="J21" i="7"/>
  <c r="I21" i="7"/>
  <c r="H21" i="7"/>
  <c r="G21" i="7"/>
  <c r="F21" i="7"/>
  <c r="E21" i="7"/>
  <c r="D21" i="7"/>
  <c r="C21" i="7"/>
  <c r="B21" i="7"/>
  <c r="P20" i="7"/>
  <c r="O20" i="7"/>
  <c r="N20" i="7"/>
  <c r="M20" i="7"/>
  <c r="L20" i="7"/>
  <c r="K20" i="7"/>
  <c r="J20" i="7"/>
  <c r="I20" i="7"/>
  <c r="H20" i="7"/>
  <c r="G20" i="7"/>
  <c r="F20" i="7"/>
  <c r="E20" i="7"/>
  <c r="D20" i="7"/>
  <c r="C20" i="7"/>
  <c r="B20" i="7"/>
  <c r="P19" i="7"/>
  <c r="O19" i="7"/>
  <c r="N19" i="7"/>
  <c r="M19" i="7"/>
  <c r="L19" i="7"/>
  <c r="K19" i="7"/>
  <c r="J19" i="7"/>
  <c r="I19" i="7"/>
  <c r="H19" i="7"/>
  <c r="G19" i="7"/>
  <c r="F19" i="7"/>
  <c r="E19" i="7"/>
  <c r="D19" i="7"/>
  <c r="C19" i="7"/>
  <c r="B19" i="7"/>
  <c r="P18" i="7"/>
  <c r="O18" i="7"/>
  <c r="N18" i="7"/>
  <c r="M18" i="7"/>
  <c r="L18" i="7"/>
  <c r="K18" i="7"/>
  <c r="J18" i="7"/>
  <c r="I18" i="7"/>
  <c r="H18" i="7"/>
  <c r="G18" i="7"/>
  <c r="F18" i="7"/>
  <c r="E18" i="7"/>
  <c r="D18" i="7"/>
  <c r="C18" i="7"/>
  <c r="B18" i="7"/>
  <c r="Q25" i="7"/>
  <c r="Q23" i="7"/>
  <c r="Q22" i="7"/>
  <c r="Q21" i="7"/>
  <c r="Q20" i="7"/>
  <c r="Q19" i="7"/>
  <c r="P16" i="7"/>
  <c r="O16" i="7"/>
  <c r="N16" i="7"/>
  <c r="M16" i="7"/>
  <c r="L16" i="7"/>
  <c r="K16" i="7"/>
  <c r="J16" i="7"/>
  <c r="I16" i="7"/>
  <c r="H16" i="7"/>
  <c r="G16" i="7"/>
  <c r="F16" i="7"/>
  <c r="E16" i="7"/>
  <c r="D16" i="7"/>
  <c r="C16" i="7"/>
  <c r="B16" i="7"/>
  <c r="P14" i="7"/>
  <c r="O14" i="7"/>
  <c r="N14" i="7"/>
  <c r="M14" i="7"/>
  <c r="L14" i="7"/>
  <c r="K14" i="7"/>
  <c r="J14" i="7"/>
  <c r="I14" i="7"/>
  <c r="H14" i="7"/>
  <c r="G14" i="7"/>
  <c r="F14" i="7"/>
  <c r="E14" i="7"/>
  <c r="D14" i="7"/>
  <c r="C14" i="7"/>
  <c r="B14" i="7"/>
  <c r="P13" i="7"/>
  <c r="O13" i="7"/>
  <c r="N13" i="7"/>
  <c r="M13" i="7"/>
  <c r="L13" i="7"/>
  <c r="K13" i="7"/>
  <c r="J13" i="7"/>
  <c r="I13" i="7"/>
  <c r="H13" i="7"/>
  <c r="G13" i="7"/>
  <c r="F13" i="7"/>
  <c r="E13" i="7"/>
  <c r="D13" i="7"/>
  <c r="C13" i="7"/>
  <c r="B13" i="7"/>
  <c r="P12" i="7"/>
  <c r="O12" i="7"/>
  <c r="N12" i="7"/>
  <c r="M12" i="7"/>
  <c r="L12" i="7"/>
  <c r="K12" i="7"/>
  <c r="J12" i="7"/>
  <c r="I12" i="7"/>
  <c r="H12" i="7"/>
  <c r="G12" i="7"/>
  <c r="F12" i="7"/>
  <c r="E12" i="7"/>
  <c r="D12" i="7"/>
  <c r="C12" i="7"/>
  <c r="B12" i="7"/>
  <c r="P11" i="7"/>
  <c r="O11" i="7"/>
  <c r="N11" i="7"/>
  <c r="M11" i="7"/>
  <c r="L11" i="7"/>
  <c r="K11" i="7"/>
  <c r="J11" i="7"/>
  <c r="I11" i="7"/>
  <c r="H11" i="7"/>
  <c r="G11" i="7"/>
  <c r="F11" i="7"/>
  <c r="E11" i="7"/>
  <c r="D11" i="7"/>
  <c r="C11" i="7"/>
  <c r="B11" i="7"/>
  <c r="Q16" i="7"/>
  <c r="Q14" i="7"/>
  <c r="Q13" i="7"/>
  <c r="Q12" i="7"/>
  <c r="Q11" i="7"/>
  <c r="P9" i="7"/>
  <c r="O9" i="7"/>
  <c r="N9" i="7"/>
  <c r="M9" i="7"/>
  <c r="L9" i="7"/>
  <c r="K9" i="7"/>
  <c r="J9" i="7"/>
  <c r="I9" i="7"/>
  <c r="H9" i="7"/>
  <c r="G9" i="7"/>
  <c r="F9" i="7"/>
  <c r="E9" i="7"/>
  <c r="D9" i="7"/>
  <c r="C9" i="7"/>
  <c r="B9" i="7"/>
  <c r="P8" i="7"/>
  <c r="O8" i="7"/>
  <c r="N8" i="7"/>
  <c r="M8" i="7"/>
  <c r="L8" i="7"/>
  <c r="K8" i="7"/>
  <c r="J8" i="7"/>
  <c r="I8" i="7"/>
  <c r="H8" i="7"/>
  <c r="G8" i="7"/>
  <c r="F8" i="7"/>
  <c r="E8" i="7"/>
  <c r="D8" i="7"/>
  <c r="C8" i="7"/>
  <c r="B8" i="7"/>
  <c r="P7" i="7"/>
  <c r="O7" i="7"/>
  <c r="N7" i="7"/>
  <c r="M7" i="7"/>
  <c r="L7" i="7"/>
  <c r="K7" i="7"/>
  <c r="J7" i="7"/>
  <c r="I7" i="7"/>
  <c r="H7" i="7"/>
  <c r="G7" i="7"/>
  <c r="F7" i="7"/>
  <c r="E7" i="7"/>
  <c r="D7" i="7"/>
  <c r="C7" i="7"/>
  <c r="B7" i="7"/>
  <c r="P6" i="7"/>
  <c r="O6" i="7"/>
  <c r="N6" i="7"/>
  <c r="M6" i="7"/>
  <c r="L6" i="7"/>
  <c r="K6" i="7"/>
  <c r="J6" i="7"/>
  <c r="I6" i="7"/>
  <c r="H6" i="7"/>
  <c r="G6" i="7"/>
  <c r="F6" i="7"/>
  <c r="E6" i="7"/>
  <c r="D6" i="7"/>
  <c r="C6" i="7"/>
  <c r="B6" i="7"/>
  <c r="P5" i="7"/>
  <c r="O5" i="7"/>
  <c r="N5" i="7"/>
  <c r="M5" i="7"/>
  <c r="L5" i="7"/>
  <c r="K5" i="7"/>
  <c r="J5" i="7"/>
  <c r="I5" i="7"/>
  <c r="H5" i="7"/>
  <c r="G5" i="7"/>
  <c r="F5" i="7"/>
  <c r="E5" i="7"/>
  <c r="D5" i="7"/>
  <c r="C5" i="7"/>
  <c r="B5" i="7"/>
  <c r="P4" i="7"/>
  <c r="O4" i="7"/>
  <c r="N4" i="7"/>
  <c r="M4" i="7"/>
  <c r="L4" i="7"/>
  <c r="K4" i="7"/>
  <c r="J4" i="7"/>
  <c r="I4" i="7"/>
  <c r="H4" i="7"/>
  <c r="G4" i="7"/>
  <c r="F4" i="7"/>
  <c r="E4" i="7"/>
  <c r="D4" i="7"/>
  <c r="C4" i="7"/>
  <c r="B4" i="7"/>
  <c r="Q9" i="7"/>
  <c r="Q32" i="7" s="1"/>
  <c r="Q8" i="7"/>
  <c r="Q7" i="7"/>
  <c r="Q6" i="7"/>
  <c r="Q5" i="7"/>
  <c r="Q4" i="7"/>
  <c r="P42" i="8"/>
  <c r="O42" i="8"/>
  <c r="N42" i="8"/>
  <c r="M42" i="8"/>
  <c r="L42" i="8"/>
  <c r="K42" i="8"/>
  <c r="J42" i="8"/>
  <c r="I42" i="8"/>
  <c r="H42" i="8"/>
  <c r="G42" i="8"/>
  <c r="P41" i="8"/>
  <c r="O41" i="8"/>
  <c r="N41" i="8"/>
  <c r="M41" i="8"/>
  <c r="L41" i="8"/>
  <c r="K41" i="8"/>
  <c r="J41" i="8"/>
  <c r="I41" i="8"/>
  <c r="H41" i="8"/>
  <c r="G41" i="8"/>
  <c r="P40" i="8"/>
  <c r="O40" i="8"/>
  <c r="N40" i="8"/>
  <c r="M40" i="8"/>
  <c r="L40" i="8"/>
  <c r="K40" i="8"/>
  <c r="J40" i="8"/>
  <c r="I40" i="8"/>
  <c r="H40" i="8"/>
  <c r="G40" i="8"/>
  <c r="P39" i="8"/>
  <c r="O39" i="8"/>
  <c r="N39" i="8"/>
  <c r="M39" i="8"/>
  <c r="L39" i="8"/>
  <c r="K39" i="8"/>
  <c r="J39" i="8"/>
  <c r="I39" i="8"/>
  <c r="H39" i="8"/>
  <c r="G39" i="8"/>
  <c r="Q42" i="8"/>
  <c r="Q41" i="8"/>
  <c r="Q40" i="8"/>
  <c r="Q39" i="8"/>
  <c r="P35" i="8"/>
  <c r="O35" i="8"/>
  <c r="N35" i="8"/>
  <c r="M35" i="8"/>
  <c r="L35" i="8"/>
  <c r="K35" i="8"/>
  <c r="J35" i="8"/>
  <c r="I35" i="8"/>
  <c r="H35" i="8"/>
  <c r="G35" i="8"/>
  <c r="P34" i="8"/>
  <c r="O34" i="8"/>
  <c r="N34" i="8"/>
  <c r="M34" i="8"/>
  <c r="L34" i="8"/>
  <c r="K34" i="8"/>
  <c r="J34" i="8"/>
  <c r="I34" i="8"/>
  <c r="H34" i="8"/>
  <c r="G34" i="8"/>
  <c r="Q35" i="8"/>
  <c r="Q34" i="8"/>
  <c r="P26" i="8"/>
  <c r="O26" i="8"/>
  <c r="O27" i="8" s="1"/>
  <c r="N26" i="8"/>
  <c r="M26" i="8"/>
  <c r="L26" i="8"/>
  <c r="K26" i="8"/>
  <c r="J26" i="8"/>
  <c r="I26" i="8"/>
  <c r="H26" i="8"/>
  <c r="G26" i="8"/>
  <c r="F26" i="8"/>
  <c r="E26" i="8"/>
  <c r="D26" i="8"/>
  <c r="C26" i="8"/>
  <c r="B26" i="8"/>
  <c r="Q26" i="8"/>
  <c r="P20" i="8"/>
  <c r="O20" i="8"/>
  <c r="N20" i="8"/>
  <c r="M20" i="8"/>
  <c r="L20" i="8"/>
  <c r="K20" i="8"/>
  <c r="J20" i="8"/>
  <c r="I20" i="8"/>
  <c r="H20" i="8"/>
  <c r="G20" i="8"/>
  <c r="F20" i="8"/>
  <c r="E20" i="8"/>
  <c r="D20" i="8"/>
  <c r="C20" i="8"/>
  <c r="B20" i="8"/>
  <c r="P19" i="8"/>
  <c r="O19" i="8"/>
  <c r="N19" i="8"/>
  <c r="M19" i="8"/>
  <c r="L19" i="8"/>
  <c r="K19" i="8"/>
  <c r="J19" i="8"/>
  <c r="I19" i="8"/>
  <c r="H19" i="8"/>
  <c r="G19" i="8"/>
  <c r="F19" i="8"/>
  <c r="E19" i="8"/>
  <c r="D19" i="8"/>
  <c r="C19" i="8"/>
  <c r="B19" i="8"/>
  <c r="P18" i="8"/>
  <c r="O18" i="8"/>
  <c r="N18" i="8"/>
  <c r="M18" i="8"/>
  <c r="L18" i="8"/>
  <c r="K18" i="8"/>
  <c r="J18" i="8"/>
  <c r="I18" i="8"/>
  <c r="H18" i="8"/>
  <c r="G18" i="8"/>
  <c r="F18" i="8"/>
  <c r="E18" i="8"/>
  <c r="D18" i="8"/>
  <c r="C18" i="8"/>
  <c r="B18" i="8"/>
  <c r="P17" i="8"/>
  <c r="O17" i="8"/>
  <c r="N17" i="8"/>
  <c r="M17" i="8"/>
  <c r="L17" i="8"/>
  <c r="K17" i="8"/>
  <c r="J17" i="8"/>
  <c r="I17" i="8"/>
  <c r="H17" i="8"/>
  <c r="G17" i="8"/>
  <c r="F17" i="8"/>
  <c r="E17" i="8"/>
  <c r="D17" i="8"/>
  <c r="C17" i="8"/>
  <c r="B17" i="8"/>
  <c r="Q20" i="8"/>
  <c r="Q19" i="8"/>
  <c r="Q18" i="8"/>
  <c r="Q17" i="8"/>
  <c r="P13" i="8"/>
  <c r="O13" i="8"/>
  <c r="N13" i="8"/>
  <c r="M13" i="8"/>
  <c r="L13" i="8"/>
  <c r="K13" i="8"/>
  <c r="J13" i="8"/>
  <c r="I13" i="8"/>
  <c r="H13" i="8"/>
  <c r="G13" i="8"/>
  <c r="F13" i="8"/>
  <c r="E13" i="8"/>
  <c r="D13" i="8"/>
  <c r="C13" i="8"/>
  <c r="B13" i="8"/>
  <c r="P12" i="8"/>
  <c r="O12" i="8"/>
  <c r="N12" i="8"/>
  <c r="M12" i="8"/>
  <c r="L12" i="8"/>
  <c r="K12" i="8"/>
  <c r="J12" i="8"/>
  <c r="I12" i="8"/>
  <c r="H12" i="8"/>
  <c r="G12" i="8"/>
  <c r="F12" i="8"/>
  <c r="E12" i="8"/>
  <c r="D12" i="8"/>
  <c r="C12" i="8"/>
  <c r="B12" i="8"/>
  <c r="P11" i="8"/>
  <c r="O11" i="8"/>
  <c r="N11" i="8"/>
  <c r="M11" i="8"/>
  <c r="L11" i="8"/>
  <c r="K11" i="8"/>
  <c r="J11" i="8"/>
  <c r="I11" i="8"/>
  <c r="H11" i="8"/>
  <c r="G11" i="8"/>
  <c r="F11" i="8"/>
  <c r="E11" i="8"/>
  <c r="D11" i="8"/>
  <c r="C11" i="8"/>
  <c r="B11" i="8"/>
  <c r="Q13" i="8"/>
  <c r="Q12" i="8"/>
  <c r="Q11" i="8"/>
  <c r="F7" i="8"/>
  <c r="E7" i="8"/>
  <c r="D7" i="8"/>
  <c r="C7" i="8"/>
  <c r="B7" i="8"/>
  <c r="F6" i="8"/>
  <c r="E6" i="8"/>
  <c r="D6" i="8"/>
  <c r="C6" i="8"/>
  <c r="B6" i="8"/>
  <c r="F5" i="8"/>
  <c r="E5" i="8"/>
  <c r="D5" i="8"/>
  <c r="C5" i="8"/>
  <c r="B5" i="8"/>
  <c r="P7" i="8"/>
  <c r="O7" i="8"/>
  <c r="N7" i="8"/>
  <c r="M7" i="8"/>
  <c r="L7" i="8"/>
  <c r="K7" i="8"/>
  <c r="J7" i="8"/>
  <c r="I7" i="8"/>
  <c r="H7" i="8"/>
  <c r="G7" i="8"/>
  <c r="P6" i="8"/>
  <c r="O6" i="8"/>
  <c r="N6" i="8"/>
  <c r="M6" i="8"/>
  <c r="L6" i="8"/>
  <c r="K6" i="8"/>
  <c r="J6" i="8"/>
  <c r="I6" i="8"/>
  <c r="H6" i="8"/>
  <c r="G6" i="8"/>
  <c r="P5" i="8"/>
  <c r="M5" i="8"/>
  <c r="L5" i="8"/>
  <c r="K5" i="8"/>
  <c r="J5" i="8"/>
  <c r="I5" i="8"/>
  <c r="H5" i="8"/>
  <c r="G5" i="8"/>
  <c r="Q7" i="8"/>
  <c r="Q6" i="8"/>
  <c r="Q5" i="8"/>
  <c r="O19" i="9"/>
  <c r="N19" i="9"/>
  <c r="M19" i="9"/>
  <c r="J19" i="9"/>
  <c r="I19" i="9"/>
  <c r="H19" i="9"/>
  <c r="E19" i="9"/>
  <c r="D19" i="9"/>
  <c r="C19" i="9"/>
  <c r="O18" i="9"/>
  <c r="N18" i="9"/>
  <c r="M18" i="9"/>
  <c r="J18" i="9"/>
  <c r="I18" i="9"/>
  <c r="H18" i="9"/>
  <c r="E18" i="9"/>
  <c r="D18" i="9"/>
  <c r="C18" i="9"/>
  <c r="F12" i="9"/>
  <c r="E12" i="9"/>
  <c r="D12" i="9"/>
  <c r="C12" i="9"/>
  <c r="B12" i="9"/>
  <c r="F11" i="9"/>
  <c r="E11" i="9"/>
  <c r="D11" i="9"/>
  <c r="C11" i="9"/>
  <c r="B11" i="9"/>
  <c r="F9" i="9"/>
  <c r="E9" i="9"/>
  <c r="D9" i="9"/>
  <c r="C9" i="9"/>
  <c r="B9" i="9"/>
  <c r="F7" i="9"/>
  <c r="E7" i="9"/>
  <c r="D7" i="9"/>
  <c r="C7" i="9"/>
  <c r="B7" i="9"/>
  <c r="N5" i="9"/>
  <c r="I5" i="9"/>
  <c r="F5" i="9"/>
  <c r="E6" i="11"/>
  <c r="D6" i="11"/>
  <c r="D8" i="11" s="1"/>
  <c r="C6" i="11"/>
  <c r="C8" i="11" s="1"/>
  <c r="B6" i="11"/>
  <c r="C17" i="2"/>
  <c r="D17" i="2"/>
  <c r="E17" i="2"/>
  <c r="F6" i="11"/>
  <c r="G29" i="6"/>
  <c r="G12" i="9" s="1"/>
  <c r="G11" i="9"/>
  <c r="G21" i="6"/>
  <c r="G9" i="9" s="1"/>
  <c r="G16" i="6"/>
  <c r="G12" i="6"/>
  <c r="G8" i="6"/>
  <c r="G7" i="9" s="1"/>
  <c r="G35" i="3"/>
  <c r="G41" i="3" s="1"/>
  <c r="G8" i="3"/>
  <c r="G5" i="3" s="1"/>
  <c r="G54" i="1"/>
  <c r="G56" i="1" s="1"/>
  <c r="G41" i="1"/>
  <c r="G45" i="1" s="1"/>
  <c r="G35" i="1"/>
  <c r="G33" i="1"/>
  <c r="G25" i="1"/>
  <c r="G17" i="2"/>
  <c r="B17" i="2"/>
  <c r="K13" i="11"/>
  <c r="K14" i="11" s="1"/>
  <c r="M13" i="9"/>
  <c r="N29" i="6"/>
  <c r="N12" i="9" s="1"/>
  <c r="N24" i="6"/>
  <c r="N11" i="9" s="1"/>
  <c r="N21" i="6"/>
  <c r="N9" i="9" s="1"/>
  <c r="N16" i="6"/>
  <c r="N12" i="6"/>
  <c r="N8" i="6"/>
  <c r="H29" i="6"/>
  <c r="H12" i="9" s="1"/>
  <c r="H24" i="6"/>
  <c r="H11" i="9" s="1"/>
  <c r="H21" i="6"/>
  <c r="H9" i="9" s="1"/>
  <c r="H16" i="6"/>
  <c r="H12" i="6"/>
  <c r="H8" i="6"/>
  <c r="H7" i="9" s="1"/>
  <c r="M22" i="3"/>
  <c r="M18" i="3" s="1"/>
  <c r="H13" i="3"/>
  <c r="H10" i="3"/>
  <c r="H6" i="3"/>
  <c r="M17" i="2"/>
  <c r="H17" i="2"/>
  <c r="H54" i="1"/>
  <c r="H56" i="1" s="1"/>
  <c r="H45" i="1"/>
  <c r="H37" i="1"/>
  <c r="H33" i="1"/>
  <c r="H25" i="1"/>
  <c r="L6" i="11"/>
  <c r="L8" i="11" s="1"/>
  <c r="I29" i="6"/>
  <c r="I12" i="9" s="1"/>
  <c r="I24" i="6"/>
  <c r="I11" i="9" s="1"/>
  <c r="I21" i="6"/>
  <c r="I9" i="9" s="1"/>
  <c r="I16" i="6"/>
  <c r="I12" i="6"/>
  <c r="I8" i="6"/>
  <c r="I7" i="9" s="1"/>
  <c r="N22" i="3"/>
  <c r="N18" i="3" s="1"/>
  <c r="N5" i="3"/>
  <c r="I57" i="1"/>
  <c r="I6" i="11"/>
  <c r="I8" i="11" s="1"/>
  <c r="F35" i="6" l="1"/>
  <c r="P6" i="11"/>
  <c r="P8" i="11" s="1"/>
  <c r="Q4" i="11"/>
  <c r="Q6" i="11" s="1"/>
  <c r="C34" i="6"/>
  <c r="F43" i="3"/>
  <c r="F45" i="3" s="1"/>
  <c r="I43" i="3"/>
  <c r="N25" i="3"/>
  <c r="N43" i="3" s="1"/>
  <c r="H5" i="3"/>
  <c r="H11" i="2"/>
  <c r="H18" i="2" s="1"/>
  <c r="H20" i="2" s="1"/>
  <c r="H22" i="2" s="1"/>
  <c r="H24" i="2" s="1"/>
  <c r="H33" i="2" s="1"/>
  <c r="D11" i="2"/>
  <c r="D18" i="2" s="1"/>
  <c r="D20" i="2" s="1"/>
  <c r="D22" i="2" s="1"/>
  <c r="D4" i="6" s="1"/>
  <c r="D35" i="6" s="1"/>
  <c r="B11" i="2"/>
  <c r="B18" i="2" s="1"/>
  <c r="B20" i="2" s="1"/>
  <c r="B22" i="2" s="1"/>
  <c r="B24" i="2" s="1"/>
  <c r="M11" i="2"/>
  <c r="M18" i="2" s="1"/>
  <c r="M20" i="2" s="1"/>
  <c r="M22" i="2" s="1"/>
  <c r="M24" i="2" s="1"/>
  <c r="M33" i="2" s="1"/>
  <c r="E11" i="2"/>
  <c r="E18" i="2" s="1"/>
  <c r="E20" i="2" s="1"/>
  <c r="E22" i="2" s="1"/>
  <c r="C11" i="2"/>
  <c r="C18" i="2" s="1"/>
  <c r="C20" i="2" s="1"/>
  <c r="C22" i="2" s="1"/>
  <c r="C5" i="9" s="1"/>
  <c r="B27" i="7"/>
  <c r="G28" i="7"/>
  <c r="C32" i="7"/>
  <c r="G32" i="7"/>
  <c r="K32" i="7"/>
  <c r="O32" i="7"/>
  <c r="H36" i="8"/>
  <c r="B26" i="7"/>
  <c r="F26" i="7"/>
  <c r="J26" i="7"/>
  <c r="N26" i="7"/>
  <c r="B28" i="7"/>
  <c r="G29" i="7"/>
  <c r="J32" i="7"/>
  <c r="N32" i="7"/>
  <c r="J36" i="8"/>
  <c r="N36" i="8"/>
  <c r="I8" i="8"/>
  <c r="M8" i="8"/>
  <c r="J8" i="8"/>
  <c r="P8" i="8"/>
  <c r="N8" i="8"/>
  <c r="L36" i="8"/>
  <c r="H8" i="8"/>
  <c r="K14" i="8"/>
  <c r="H14" i="9"/>
  <c r="Q14" i="8"/>
  <c r="Q27" i="8"/>
  <c r="E32" i="7"/>
  <c r="I32" i="7"/>
  <c r="M32" i="7"/>
  <c r="D14" i="9"/>
  <c r="I14" i="8"/>
  <c r="Q36" i="8"/>
  <c r="B29" i="7"/>
  <c r="G30" i="7"/>
  <c r="C27" i="7"/>
  <c r="G27" i="7"/>
  <c r="B30" i="7"/>
  <c r="D32" i="7"/>
  <c r="H32" i="7"/>
  <c r="L32" i="7"/>
  <c r="P32" i="7"/>
  <c r="C26" i="7"/>
  <c r="G26" i="7"/>
  <c r="K26" i="7"/>
  <c r="O26" i="7"/>
  <c r="B8" i="8"/>
  <c r="F8" i="8"/>
  <c r="J14" i="8"/>
  <c r="Q21" i="8"/>
  <c r="G21" i="8"/>
  <c r="K21" i="8"/>
  <c r="O21" i="8"/>
  <c r="H21" i="8"/>
  <c r="L21" i="8"/>
  <c r="P21" i="8"/>
  <c r="J21" i="8"/>
  <c r="J27" i="8"/>
  <c r="N27" i="8"/>
  <c r="G43" i="8"/>
  <c r="K43" i="8"/>
  <c r="O43" i="8"/>
  <c r="D26" i="7"/>
  <c r="H26" i="7"/>
  <c r="L26" i="7"/>
  <c r="P26" i="7"/>
  <c r="L8" i="8"/>
  <c r="E26" i="7"/>
  <c r="I26" i="7"/>
  <c r="M26" i="7"/>
  <c r="G38" i="1"/>
  <c r="G46" i="1" s="1"/>
  <c r="G57" i="1" s="1"/>
  <c r="N14" i="8"/>
  <c r="G14" i="9"/>
  <c r="N34" i="6"/>
  <c r="N35" i="6" s="1"/>
  <c r="F28" i="7"/>
  <c r="J28" i="7"/>
  <c r="N28" i="7"/>
  <c r="K29" i="7"/>
  <c r="O29" i="7"/>
  <c r="H30" i="7"/>
  <c r="L30" i="7"/>
  <c r="P30" i="7"/>
  <c r="G11" i="2"/>
  <c r="G18" i="2" s="1"/>
  <c r="G20" i="2" s="1"/>
  <c r="G22" i="2" s="1"/>
  <c r="G5" i="9" s="1"/>
  <c r="N7" i="9"/>
  <c r="N14" i="9" s="1"/>
  <c r="N15" i="9" s="1"/>
  <c r="F11" i="2"/>
  <c r="F18" i="2" s="1"/>
  <c r="G10" i="7"/>
  <c r="K10" i="7"/>
  <c r="O10" i="7"/>
  <c r="H28" i="7"/>
  <c r="L28" i="7"/>
  <c r="P28" i="7"/>
  <c r="I29" i="7"/>
  <c r="M29" i="7"/>
  <c r="J30" i="7"/>
  <c r="N30" i="7"/>
  <c r="Q17" i="7"/>
  <c r="H17" i="7"/>
  <c r="L17" i="7"/>
  <c r="I34" i="6"/>
  <c r="I35" i="6" s="1"/>
  <c r="I14" i="9"/>
  <c r="I15" i="9" s="1"/>
  <c r="I21" i="8"/>
  <c r="M21" i="8"/>
  <c r="G8" i="8"/>
  <c r="B27" i="8"/>
  <c r="F27" i="8"/>
  <c r="G36" i="8"/>
  <c r="B14" i="8"/>
  <c r="G14" i="8"/>
  <c r="O14" i="8"/>
  <c r="H14" i="8"/>
  <c r="L14" i="8"/>
  <c r="P14" i="8"/>
  <c r="M14" i="8"/>
  <c r="B21" i="8"/>
  <c r="N21" i="8"/>
  <c r="C27" i="8"/>
  <c r="G27" i="8"/>
  <c r="K27" i="8"/>
  <c r="J43" i="8"/>
  <c r="N43" i="8"/>
  <c r="H10" i="7"/>
  <c r="L10" i="7"/>
  <c r="P10" i="7"/>
  <c r="I28" i="7"/>
  <c r="F29" i="7"/>
  <c r="J29" i="7"/>
  <c r="N29" i="7"/>
  <c r="C30" i="7"/>
  <c r="K30" i="7"/>
  <c r="O30" i="7"/>
  <c r="J17" i="7"/>
  <c r="J10" i="7"/>
  <c r="N10" i="7"/>
  <c r="K28" i="7"/>
  <c r="O28" i="7"/>
  <c r="H29" i="7"/>
  <c r="L29" i="7"/>
  <c r="P29" i="7"/>
  <c r="E30" i="7"/>
  <c r="I30" i="7"/>
  <c r="P17" i="7"/>
  <c r="N17" i="7"/>
  <c r="G17" i="7"/>
  <c r="K17" i="7"/>
  <c r="O17" i="7"/>
  <c r="H27" i="8"/>
  <c r="D34" i="7"/>
  <c r="H34" i="7"/>
  <c r="L34" i="7"/>
  <c r="P34" i="7"/>
  <c r="K8" i="8"/>
  <c r="Q34" i="7"/>
  <c r="E34" i="7"/>
  <c r="I34" i="7"/>
  <c r="B34" i="7"/>
  <c r="F34" i="7"/>
  <c r="J34" i="7"/>
  <c r="N34" i="7"/>
  <c r="C34" i="7"/>
  <c r="G34" i="7"/>
  <c r="K34" i="7"/>
  <c r="O34" i="7"/>
  <c r="L27" i="8"/>
  <c r="P27" i="8"/>
  <c r="I27" i="8"/>
  <c r="M27" i="8"/>
  <c r="H43" i="8"/>
  <c r="P43" i="8"/>
  <c r="M30" i="7"/>
  <c r="O8" i="8"/>
  <c r="D27" i="8"/>
  <c r="I36" i="8"/>
  <c r="M36" i="8"/>
  <c r="I43" i="8"/>
  <c r="E27" i="8"/>
  <c r="P36" i="8"/>
  <c r="L43" i="8"/>
  <c r="K36" i="8"/>
  <c r="O36" i="8"/>
  <c r="H34" i="6"/>
  <c r="D27" i="7"/>
  <c r="E27" i="7"/>
  <c r="I27" i="7"/>
  <c r="M27" i="7"/>
  <c r="H27" i="7"/>
  <c r="L27" i="7"/>
  <c r="P27" i="7"/>
  <c r="I17" i="7"/>
  <c r="J27" i="7"/>
  <c r="N27" i="7"/>
  <c r="G34" i="6"/>
  <c r="K27" i="7"/>
  <c r="O27" i="7"/>
  <c r="B8" i="11"/>
  <c r="B29" i="2" s="1"/>
  <c r="B19" i="9" s="1"/>
  <c r="B28" i="2"/>
  <c r="B18" i="9" s="1"/>
  <c r="H38" i="1"/>
  <c r="H46" i="1" s="1"/>
  <c r="H57" i="1" s="1"/>
  <c r="M34" i="7"/>
  <c r="M17" i="7"/>
  <c r="M43" i="8"/>
  <c r="M28" i="7"/>
  <c r="K29" i="2"/>
  <c r="K19" i="9" s="1"/>
  <c r="K28" i="2"/>
  <c r="K18" i="9" s="1"/>
  <c r="F8" i="11"/>
  <c r="G29" i="2" s="1"/>
  <c r="G28" i="2"/>
  <c r="G18" i="9" s="1"/>
  <c r="E8" i="11"/>
  <c r="F28" i="2"/>
  <c r="F32" i="2" s="1"/>
  <c r="D29" i="7"/>
  <c r="D21" i="8"/>
  <c r="D14" i="8"/>
  <c r="D30" i="7"/>
  <c r="D28" i="7"/>
  <c r="D8" i="8"/>
  <c r="D17" i="7"/>
  <c r="D10" i="7"/>
  <c r="C29" i="7"/>
  <c r="C21" i="8"/>
  <c r="C14" i="8"/>
  <c r="C8" i="8"/>
  <c r="C28" i="7"/>
  <c r="C17" i="7"/>
  <c r="C10" i="7"/>
  <c r="M8" i="11"/>
  <c r="F32" i="7"/>
  <c r="F17" i="7"/>
  <c r="F10" i="7"/>
  <c r="F21" i="8"/>
  <c r="E21" i="8"/>
  <c r="E29" i="7"/>
  <c r="F30" i="7"/>
  <c r="F14" i="8"/>
  <c r="E17" i="7"/>
  <c r="E14" i="8"/>
  <c r="E28" i="7"/>
  <c r="E8" i="8"/>
  <c r="E10" i="7"/>
  <c r="F4" i="4"/>
  <c r="F8" i="4" s="1"/>
  <c r="F27" i="7"/>
  <c r="B32" i="7"/>
  <c r="B10" i="7"/>
  <c r="B17" i="7"/>
  <c r="B14" i="9"/>
  <c r="F14" i="9"/>
  <c r="F15" i="9" s="1"/>
  <c r="C14" i="9"/>
  <c r="E14" i="9"/>
  <c r="I10" i="7"/>
  <c r="M10" i="7"/>
  <c r="P29" i="6"/>
  <c r="P12" i="9" s="1"/>
  <c r="O29" i="6"/>
  <c r="O12" i="9" s="1"/>
  <c r="M29" i="6"/>
  <c r="M12" i="9" s="1"/>
  <c r="K29" i="6"/>
  <c r="K12" i="9" s="1"/>
  <c r="J29" i="6"/>
  <c r="J12" i="9" s="1"/>
  <c r="P24" i="6"/>
  <c r="P11" i="9" s="1"/>
  <c r="O24" i="6"/>
  <c r="O11" i="9" s="1"/>
  <c r="M24" i="6"/>
  <c r="M11" i="9" s="1"/>
  <c r="K24" i="6"/>
  <c r="K11" i="9" s="1"/>
  <c r="J24" i="6"/>
  <c r="J11" i="9" s="1"/>
  <c r="P21" i="6"/>
  <c r="P9" i="9" s="1"/>
  <c r="O21" i="6"/>
  <c r="O9" i="9" s="1"/>
  <c r="M21" i="6"/>
  <c r="M9" i="9" s="1"/>
  <c r="K21" i="6"/>
  <c r="K9" i="9" s="1"/>
  <c r="J21" i="6"/>
  <c r="J9" i="9" s="1"/>
  <c r="P16" i="6"/>
  <c r="O16" i="6"/>
  <c r="M16" i="6"/>
  <c r="K16" i="6"/>
  <c r="J16" i="6"/>
  <c r="Q12" i="6"/>
  <c r="P12" i="6"/>
  <c r="O12" i="6"/>
  <c r="M12" i="6"/>
  <c r="K12" i="6"/>
  <c r="J12" i="6"/>
  <c r="P8" i="6"/>
  <c r="O8" i="6"/>
  <c r="O7" i="9" s="1"/>
  <c r="M8" i="6"/>
  <c r="M7" i="9" s="1"/>
  <c r="K8" i="6"/>
  <c r="K7" i="9" s="1"/>
  <c r="J8" i="6"/>
  <c r="J7" i="9" s="1"/>
  <c r="Q8" i="11" l="1"/>
  <c r="U29" i="2" s="1"/>
  <c r="U28" i="2"/>
  <c r="N4" i="4"/>
  <c r="N8" i="4" s="1"/>
  <c r="D5" i="9"/>
  <c r="D15" i="9" s="1"/>
  <c r="D22" i="9" s="1"/>
  <c r="H32" i="2"/>
  <c r="D4" i="3"/>
  <c r="D25" i="3" s="1"/>
  <c r="H4" i="6"/>
  <c r="H35" i="6" s="1"/>
  <c r="H4" i="3"/>
  <c r="H25" i="3" s="1"/>
  <c r="D24" i="2"/>
  <c r="D32" i="2" s="1"/>
  <c r="H5" i="9"/>
  <c r="H15" i="9" s="1"/>
  <c r="H22" i="9" s="1"/>
  <c r="M5" i="9"/>
  <c r="C24" i="2"/>
  <c r="C33" i="2" s="1"/>
  <c r="C4" i="3"/>
  <c r="C4" i="6"/>
  <c r="C35" i="6" s="1"/>
  <c r="M4" i="6"/>
  <c r="M4" i="3"/>
  <c r="G35" i="7"/>
  <c r="K14" i="9"/>
  <c r="C35" i="7"/>
  <c r="M32" i="2"/>
  <c r="J35" i="7"/>
  <c r="H35" i="7"/>
  <c r="K35" i="7"/>
  <c r="P35" i="7"/>
  <c r="I35" i="7"/>
  <c r="J14" i="9"/>
  <c r="G15" i="9"/>
  <c r="G22" i="9" s="1"/>
  <c r="O34" i="6"/>
  <c r="N22" i="9"/>
  <c r="N23" i="9"/>
  <c r="O14" i="9"/>
  <c r="P34" i="6"/>
  <c r="P7" i="9"/>
  <c r="P14" i="9" s="1"/>
  <c r="B33" i="2"/>
  <c r="B32" i="2"/>
  <c r="L35" i="7"/>
  <c r="I23" i="9"/>
  <c r="I22" i="9"/>
  <c r="N35" i="7"/>
  <c r="O35" i="7"/>
  <c r="M35" i="7"/>
  <c r="B5" i="9"/>
  <c r="B15" i="9" s="1"/>
  <c r="P29" i="2"/>
  <c r="P19" i="9" s="1"/>
  <c r="G4" i="3"/>
  <c r="G4" i="6"/>
  <c r="G35" i="6" s="1"/>
  <c r="G24" i="2"/>
  <c r="B4" i="3"/>
  <c r="B4" i="6"/>
  <c r="B35" i="6" s="1"/>
  <c r="C15" i="9"/>
  <c r="E4" i="3"/>
  <c r="E5" i="9"/>
  <c r="E15" i="9" s="1"/>
  <c r="E24" i="2"/>
  <c r="E4" i="6"/>
  <c r="E35" i="6" s="1"/>
  <c r="M14" i="9"/>
  <c r="M34" i="6"/>
  <c r="F18" i="9"/>
  <c r="F22" i="9" s="1"/>
  <c r="F29" i="2"/>
  <c r="F33" i="2" s="1"/>
  <c r="D35" i="7"/>
  <c r="F35" i="7"/>
  <c r="E35" i="7"/>
  <c r="B35" i="7"/>
  <c r="I4" i="4"/>
  <c r="I8" i="4" s="1"/>
  <c r="K34" i="6"/>
  <c r="J34" i="6"/>
  <c r="O11" i="2"/>
  <c r="J11" i="2"/>
  <c r="P17" i="2"/>
  <c r="K17" i="2"/>
  <c r="J17" i="2"/>
  <c r="L17" i="2"/>
  <c r="O17" i="2"/>
  <c r="F54" i="1"/>
  <c r="F56" i="1" s="1"/>
  <c r="J54" i="1"/>
  <c r="J56" i="1" s="1"/>
  <c r="F45" i="1"/>
  <c r="F25" i="1"/>
  <c r="J25" i="1"/>
  <c r="H43" i="3" l="1"/>
  <c r="D33" i="2"/>
  <c r="K11" i="2"/>
  <c r="K18" i="2" s="1"/>
  <c r="C32" i="2"/>
  <c r="J18" i="2"/>
  <c r="J20" i="2" s="1"/>
  <c r="J22" i="2" s="1"/>
  <c r="J24" i="2" s="1"/>
  <c r="J32" i="2" s="1"/>
  <c r="U18" i="9"/>
  <c r="U22" i="9" s="1"/>
  <c r="U32" i="2"/>
  <c r="U19" i="9"/>
  <c r="U23" i="9" s="1"/>
  <c r="U33" i="2"/>
  <c r="D43" i="3"/>
  <c r="D4" i="4"/>
  <c r="D8" i="4" s="1"/>
  <c r="B25" i="3"/>
  <c r="E25" i="3"/>
  <c r="M25" i="3"/>
  <c r="C25" i="3"/>
  <c r="G25" i="3"/>
  <c r="M15" i="9"/>
  <c r="M23" i="9" s="1"/>
  <c r="M35" i="6"/>
  <c r="H4" i="4"/>
  <c r="H8" i="4" s="1"/>
  <c r="D23" i="9"/>
  <c r="H23" i="9"/>
  <c r="O18" i="2"/>
  <c r="O20" i="2" s="1"/>
  <c r="O22" i="2" s="1"/>
  <c r="O5" i="9" s="1"/>
  <c r="O15" i="9" s="1"/>
  <c r="G44" i="3"/>
  <c r="K44" i="3"/>
  <c r="E23" i="9"/>
  <c r="E22" i="9"/>
  <c r="C22" i="9"/>
  <c r="C23" i="9"/>
  <c r="G32" i="2"/>
  <c r="G33" i="2"/>
  <c r="E33" i="2"/>
  <c r="E32" i="2"/>
  <c r="B23" i="9"/>
  <c r="B22" i="9"/>
  <c r="G19" i="9"/>
  <c r="G23" i="9" s="1"/>
  <c r="F19" i="9"/>
  <c r="F23" i="9" s="1"/>
  <c r="F46" i="1"/>
  <c r="F57" i="1" s="1"/>
  <c r="N6" i="11"/>
  <c r="J6" i="11"/>
  <c r="J8" i="11" s="1"/>
  <c r="Q43" i="8"/>
  <c r="Q8" i="8"/>
  <c r="Q31" i="7"/>
  <c r="Q30" i="7"/>
  <c r="Q29" i="7"/>
  <c r="Q28" i="7"/>
  <c r="Q10" i="7"/>
  <c r="Q29" i="6"/>
  <c r="Q12" i="9" s="1"/>
  <c r="L29" i="6"/>
  <c r="L12" i="9" s="1"/>
  <c r="Q24" i="6"/>
  <c r="Q11" i="9" s="1"/>
  <c r="L24" i="6"/>
  <c r="L11" i="9" s="1"/>
  <c r="Q21" i="6"/>
  <c r="Q9" i="9" s="1"/>
  <c r="L21" i="6"/>
  <c r="L9" i="9" s="1"/>
  <c r="Q16" i="6"/>
  <c r="L16" i="6"/>
  <c r="L12" i="6"/>
  <c r="Q8" i="6"/>
  <c r="Q7" i="9" s="1"/>
  <c r="L8" i="6"/>
  <c r="L11" i="2"/>
  <c r="L18" i="2" s="1"/>
  <c r="L20" i="2" s="1"/>
  <c r="Q37" i="3"/>
  <c r="Q33" i="3"/>
  <c r="Q22" i="3"/>
  <c r="Q21" i="3"/>
  <c r="Q5" i="3"/>
  <c r="Q16" i="2"/>
  <c r="K54" i="1"/>
  <c r="K56" i="1" s="1"/>
  <c r="K45" i="1"/>
  <c r="J44" i="1"/>
  <c r="J45" i="1" s="1"/>
  <c r="J46" i="1" s="1"/>
  <c r="K37" i="1"/>
  <c r="K38" i="1" s="1"/>
  <c r="K25" i="1"/>
  <c r="M43" i="3" l="1"/>
  <c r="G43" i="3"/>
  <c r="G45" i="3" s="1"/>
  <c r="J33" i="2"/>
  <c r="J4" i="3"/>
  <c r="J25" i="3" s="1"/>
  <c r="J4" i="6"/>
  <c r="J35" i="6" s="1"/>
  <c r="K20" i="2"/>
  <c r="K22" i="2" s="1"/>
  <c r="K24" i="2" s="1"/>
  <c r="K32" i="2" s="1"/>
  <c r="J5" i="9"/>
  <c r="J15" i="9" s="1"/>
  <c r="J22" i="9" s="1"/>
  <c r="P11" i="2"/>
  <c r="P18" i="2" s="1"/>
  <c r="C4" i="4"/>
  <c r="C8" i="4" s="1"/>
  <c r="C43" i="3"/>
  <c r="E4" i="4"/>
  <c r="E8" i="4" s="1"/>
  <c r="E43" i="3"/>
  <c r="B43" i="3"/>
  <c r="B45" i="3" s="1"/>
  <c r="G4" i="4"/>
  <c r="G8" i="4" s="1"/>
  <c r="Q18" i="3"/>
  <c r="M4" i="4"/>
  <c r="M8" i="4" s="1"/>
  <c r="B4" i="4"/>
  <c r="B8" i="4" s="1"/>
  <c r="Q41" i="3"/>
  <c r="U37" i="3"/>
  <c r="U41" i="3" s="1"/>
  <c r="U43" i="3" s="1"/>
  <c r="M22" i="9"/>
  <c r="O4" i="3"/>
  <c r="O4" i="6"/>
  <c r="O35" i="6" s="1"/>
  <c r="O24" i="2"/>
  <c r="O32" i="2" s="1"/>
  <c r="Q11" i="2"/>
  <c r="Q14" i="9"/>
  <c r="O22" i="9"/>
  <c r="O23" i="9"/>
  <c r="Q17" i="2"/>
  <c r="Q18" i="7"/>
  <c r="Q26" i="7" s="1"/>
  <c r="L7" i="9"/>
  <c r="L14" i="9" s="1"/>
  <c r="L34" i="6"/>
  <c r="L29" i="2"/>
  <c r="L19" i="9" s="1"/>
  <c r="L28" i="2"/>
  <c r="L18" i="9" s="1"/>
  <c r="N8" i="11"/>
  <c r="Q29" i="2" s="1"/>
  <c r="Q19" i="9" s="1"/>
  <c r="Q28" i="2"/>
  <c r="Q18" i="9" s="1"/>
  <c r="K46" i="1"/>
  <c r="K57" i="1" s="1"/>
  <c r="J57" i="1"/>
  <c r="Q34" i="6"/>
  <c r="J43" i="3" l="1"/>
  <c r="C15" i="1"/>
  <c r="C26" i="1" s="1"/>
  <c r="K5" i="9"/>
  <c r="K15" i="9" s="1"/>
  <c r="J23" i="9"/>
  <c r="K4" i="3"/>
  <c r="K25" i="3" s="1"/>
  <c r="K4" i="4" s="1"/>
  <c r="K8" i="4" s="1"/>
  <c r="K4" i="6"/>
  <c r="K35" i="6" s="1"/>
  <c r="P20" i="2"/>
  <c r="P22" i="2" s="1"/>
  <c r="K33" i="2"/>
  <c r="O33" i="2"/>
  <c r="C44" i="3"/>
  <c r="C45" i="3" s="1"/>
  <c r="J4" i="4"/>
  <c r="J8" i="4" s="1"/>
  <c r="H44" i="3"/>
  <c r="H45" i="3" s="1"/>
  <c r="O25" i="3"/>
  <c r="Q18" i="2"/>
  <c r="Q20" i="2" s="1"/>
  <c r="Q27" i="7"/>
  <c r="Q35" i="7" s="1"/>
  <c r="L22" i="2"/>
  <c r="O43" i="3" l="1"/>
  <c r="K23" i="9"/>
  <c r="K43" i="3"/>
  <c r="K45" i="3" s="1"/>
  <c r="L44" i="3" s="1"/>
  <c r="K22" i="9"/>
  <c r="P24" i="2"/>
  <c r="P4" i="3"/>
  <c r="P25" i="3" s="1"/>
  <c r="P43" i="3" s="1"/>
  <c r="P5" i="9"/>
  <c r="P15" i="9" s="1"/>
  <c r="P4" i="6"/>
  <c r="P35" i="6" s="1"/>
  <c r="D44" i="3"/>
  <c r="D45" i="3" s="1"/>
  <c r="D15" i="1"/>
  <c r="D26" i="1" s="1"/>
  <c r="O4" i="4"/>
  <c r="O8" i="4" s="1"/>
  <c r="L24" i="2"/>
  <c r="L4" i="6"/>
  <c r="L35" i="6" s="1"/>
  <c r="L4" i="3"/>
  <c r="L25" i="3" s="1"/>
  <c r="L5" i="9"/>
  <c r="L15" i="9" s="1"/>
  <c r="Q22" i="2"/>
  <c r="L43" i="3" l="1"/>
  <c r="L45" i="3" s="1"/>
  <c r="P44" i="3"/>
  <c r="P45" i="3" s="1"/>
  <c r="Q44" i="3" s="1"/>
  <c r="P33" i="2"/>
  <c r="P32" i="2"/>
  <c r="P23" i="9"/>
  <c r="P22" i="9"/>
  <c r="P4" i="4"/>
  <c r="P8" i="4" s="1"/>
  <c r="E44" i="3"/>
  <c r="E45" i="3" s="1"/>
  <c r="I44" i="3"/>
  <c r="I45" i="3" s="1"/>
  <c r="L22" i="9"/>
  <c r="L23" i="9"/>
  <c r="L32" i="2"/>
  <c r="L33" i="2"/>
  <c r="L4" i="4"/>
  <c r="L8" i="4" s="1"/>
  <c r="Q5" i="9"/>
  <c r="Q15" i="9" s="1"/>
  <c r="Q4" i="6"/>
  <c r="Q35" i="6" s="1"/>
  <c r="Q4" i="3"/>
  <c r="Q25" i="3" s="1"/>
  <c r="Q24" i="2"/>
  <c r="G15" i="1" l="1"/>
  <c r="G26" i="1" s="1"/>
  <c r="Q43" i="3"/>
  <c r="Q45" i="3" s="1"/>
  <c r="U44" i="3"/>
  <c r="U45" i="3" s="1"/>
  <c r="Z44" i="3" s="1"/>
  <c r="Z45" i="3" s="1"/>
  <c r="AA44" i="3" s="1"/>
  <c r="AA45" i="3" s="1"/>
  <c r="B15" i="1"/>
  <c r="B26" i="1" s="1"/>
  <c r="M44" i="3"/>
  <c r="M45" i="3" s="1"/>
  <c r="Q33" i="2"/>
  <c r="Q32" i="2"/>
  <c r="Q23" i="9"/>
  <c r="Q22" i="9"/>
  <c r="Q4" i="4"/>
  <c r="Q8" i="4" s="1"/>
  <c r="AE44" i="3" l="1"/>
  <c r="AE45" i="3" s="1"/>
  <c r="AF44" i="3" s="1"/>
  <c r="AF45" i="3" s="1"/>
  <c r="AG44" i="3" s="1"/>
  <c r="AG45" i="3" s="1"/>
  <c r="X15" i="1" s="1"/>
  <c r="X26" i="1" s="1"/>
  <c r="K15" i="1"/>
  <c r="K26" i="1" s="1"/>
  <c r="V44" i="3"/>
  <c r="V45" i="3" s="1"/>
  <c r="R15" i="1"/>
  <c r="R26" i="1" s="1"/>
  <c r="J44" i="3"/>
  <c r="J45" i="3" s="1"/>
  <c r="E15" i="1"/>
  <c r="E26" i="1" s="1"/>
  <c r="H15" i="1"/>
  <c r="H26" i="1" s="1"/>
  <c r="R44" i="3"/>
  <c r="R45" i="3" s="1"/>
  <c r="N44" i="3"/>
  <c r="N45" i="3" s="1"/>
  <c r="W15" i="1" l="1"/>
  <c r="W26" i="1" s="1"/>
  <c r="AJ44" i="3"/>
  <c r="AJ45" i="3" s="1"/>
  <c r="Z15" i="1" s="1"/>
  <c r="Z26" i="1" s="1"/>
  <c r="AB44" i="3"/>
  <c r="AB45" i="3" s="1"/>
  <c r="T15" i="1" s="1"/>
  <c r="T26" i="1" s="1"/>
  <c r="AH44" i="3"/>
  <c r="AH45" i="3" s="1"/>
  <c r="S15" i="1"/>
  <c r="S26" i="1" s="1"/>
  <c r="AD26" i="1"/>
  <c r="O44" i="3"/>
  <c r="O45" i="3" s="1"/>
  <c r="O15" i="1"/>
  <c r="O26" i="1" s="1"/>
  <c r="W44" i="3"/>
  <c r="W45" i="3" s="1"/>
  <c r="AK44" i="3" l="1"/>
  <c r="AK45" i="3" s="1"/>
  <c r="AL44" i="3" s="1"/>
  <c r="AL45" i="3" s="1"/>
  <c r="AB15" i="1" s="1"/>
  <c r="AB26" i="1" s="1"/>
  <c r="AO44" i="3"/>
  <c r="AO45" i="3" s="1"/>
  <c r="AT44" i="3" s="1"/>
  <c r="AT45" i="3" s="1"/>
  <c r="AU44" i="3" s="1"/>
  <c r="AU45" i="3" s="1"/>
  <c r="L42" i="12" s="1"/>
  <c r="X44" i="3"/>
  <c r="X45" i="3" s="1"/>
  <c r="Q15" i="1" s="1"/>
  <c r="Q26" i="1" s="1"/>
  <c r="AI44" i="3"/>
  <c r="AI45" i="3" s="1"/>
  <c r="Y15" i="1"/>
  <c r="Y26" i="1" s="1"/>
  <c r="AC44" i="3"/>
  <c r="AC45" i="3" s="1"/>
  <c r="S44" i="3"/>
  <c r="S45" i="3" s="1"/>
  <c r="L15" i="1"/>
  <c r="L26" i="1" s="1"/>
  <c r="P15" i="1"/>
  <c r="P26" i="1" s="1"/>
  <c r="F15" i="1"/>
  <c r="F26" i="1" s="1"/>
  <c r="J15" i="1"/>
  <c r="J26" i="1" s="1"/>
  <c r="AP44" i="3" l="1"/>
  <c r="AP45" i="3" s="1"/>
  <c r="AQ44" i="3" s="1"/>
  <c r="AQ45" i="3" s="1"/>
  <c r="C42" i="12"/>
  <c r="AM44" i="3"/>
  <c r="AM45" i="3" s="1"/>
  <c r="D42" i="12" s="1"/>
  <c r="AA15" i="1"/>
  <c r="AA26" i="1" s="1"/>
  <c r="B42" i="12"/>
  <c r="AD44" i="3"/>
  <c r="AD45" i="3" s="1"/>
  <c r="U15" i="1"/>
  <c r="U26" i="1" s="1"/>
  <c r="Y44" i="3"/>
  <c r="Y45" i="3" s="1"/>
  <c r="AE15" i="1"/>
  <c r="AE26" i="1" s="1"/>
  <c r="T44" i="3"/>
  <c r="T45" i="3" s="1"/>
  <c r="M15" i="1"/>
  <c r="M26" i="1" s="1"/>
  <c r="AN44" i="3" l="1"/>
  <c r="AN45" i="3" s="1"/>
  <c r="E42" i="12" s="1"/>
  <c r="V15" i="1"/>
  <c r="V26" i="1" s="1"/>
  <c r="H42" i="12"/>
  <c r="AR44" i="3"/>
  <c r="AR45" i="3" s="1"/>
  <c r="AS44" i="3" s="1"/>
  <c r="G42" i="12"/>
  <c r="AF15" i="1"/>
  <c r="AF26" i="1" s="1"/>
  <c r="N15" i="1"/>
  <c r="N26" i="1" s="1"/>
  <c r="AS45" i="3" l="1"/>
  <c r="I42" i="12"/>
  <c r="J42" i="12" l="1"/>
  <c r="AH15" i="1"/>
  <c r="AH26" i="1" s="1"/>
</calcChain>
</file>

<file path=xl/sharedStrings.xml><?xml version="1.0" encoding="utf-8"?>
<sst xmlns="http://schemas.openxmlformats.org/spreadsheetml/2006/main" count="764" uniqueCount="284">
  <si>
    <t>Consolidated Statement of Financial Position</t>
  </si>
  <si>
    <t>(U.S. dollars in thousands) (unaudited)</t>
  </si>
  <si>
    <t>December 31,</t>
  </si>
  <si>
    <t>March 31,</t>
  </si>
  <si>
    <t>June 30,</t>
  </si>
  <si>
    <t>September 30,</t>
  </si>
  <si>
    <t>2017</t>
  </si>
  <si>
    <t>2018</t>
  </si>
  <si>
    <t>Assets</t>
  </si>
  <si>
    <t>Current assets:</t>
  </si>
  <si>
    <t>Cash and cash equivalents</t>
  </si>
  <si>
    <t>Trade receivables, net of allowances</t>
  </si>
  <si>
    <t>Income taxes</t>
  </si>
  <si>
    <t>Other taxes</t>
  </si>
  <si>
    <t>Other current assets</t>
  </si>
  <si>
    <t>Restricted cash - current</t>
  </si>
  <si>
    <t>Marketable Securities - current portion</t>
  </si>
  <si>
    <t>Total current assets</t>
  </si>
  <si>
    <t>Property, plant and equipment, net</t>
  </si>
  <si>
    <t>Intangible assets, net</t>
  </si>
  <si>
    <t>Goodwill</t>
  </si>
  <si>
    <t>Right of Use Asset - operating lease</t>
  </si>
  <si>
    <t xml:space="preserve">Restricted cash - non current </t>
  </si>
  <si>
    <t xml:space="preserve"> -     </t>
  </si>
  <si>
    <t>Marketable Securities - non current portion</t>
  </si>
  <si>
    <t>Non-current financial assets</t>
  </si>
  <si>
    <t xml:space="preserve">Other non-current assets </t>
  </si>
  <si>
    <t>Deferred tax assets</t>
  </si>
  <si>
    <t>Total non current assets</t>
  </si>
  <si>
    <t>Total assets</t>
  </si>
  <si>
    <t>Liabilities and shareholders' equity</t>
  </si>
  <si>
    <t>Current liabilities:</t>
  </si>
  <si>
    <t>Trade payables</t>
  </si>
  <si>
    <t>Contingencies</t>
  </si>
  <si>
    <t>Financial liabilities - current portion</t>
  </si>
  <si>
    <t>Lease liability - operating - current portion</t>
  </si>
  <si>
    <t>Employee - related payables</t>
  </si>
  <si>
    <t>Other current liabilities</t>
  </si>
  <si>
    <t>Total current liabilities</t>
  </si>
  <si>
    <t>Deferred tax liabilities</t>
  </si>
  <si>
    <t>Defined benefit plans</t>
  </si>
  <si>
    <r>
      <t>Financial liabilities - non</t>
    </r>
    <r>
      <rPr>
        <sz val="10"/>
        <color rgb="FFFF0000"/>
        <rFont val="Arial"/>
        <family val="2"/>
        <scheme val="minor"/>
      </rPr>
      <t>-</t>
    </r>
    <r>
      <rPr>
        <sz val="10"/>
        <color rgb="FF000000"/>
        <rFont val="Arial"/>
        <family val="2"/>
        <scheme val="minor"/>
      </rPr>
      <t>current portion</t>
    </r>
  </si>
  <si>
    <r>
      <t>Lease liability - operating - non</t>
    </r>
    <r>
      <rPr>
        <sz val="10"/>
        <color rgb="FFFF0000"/>
        <rFont val="Arial"/>
        <family val="2"/>
        <scheme val="minor"/>
      </rPr>
      <t>-</t>
    </r>
    <r>
      <rPr>
        <sz val="10"/>
        <color rgb="FF000000"/>
        <rFont val="Arial"/>
        <family val="2"/>
        <scheme val="minor"/>
      </rPr>
      <t>current portion</t>
    </r>
  </si>
  <si>
    <t xml:space="preserve">Provision for risk and charges - non current </t>
  </si>
  <si>
    <t>Other non-current liabilities</t>
  </si>
  <si>
    <t>Total non-current liabilities</t>
  </si>
  <si>
    <t>Total liabilities</t>
  </si>
  <si>
    <t>Commitments and contingencies</t>
  </si>
  <si>
    <t>Shareholders' equity:</t>
  </si>
  <si>
    <t>Common shares, €0.025 par value</t>
  </si>
  <si>
    <t>Treasury stock</t>
  </si>
  <si>
    <t>Additional paid-in capital</t>
  </si>
  <si>
    <t>Accumulated other comprehensive income (loss)</t>
  </si>
  <si>
    <t>Retained earnings</t>
  </si>
  <si>
    <t>Equity - attributable to shareholders of Criteo S.A.</t>
  </si>
  <si>
    <t>Non-controlling interests</t>
  </si>
  <si>
    <t>Total equity</t>
  </si>
  <si>
    <t>Total equity and liabilities</t>
  </si>
  <si>
    <t>Consolidated Statement of Income</t>
  </si>
  <si>
    <t>(U.S. dollars in thousands, except share and per share data) (unaudited)</t>
  </si>
  <si>
    <t>Q1 2015</t>
  </si>
  <si>
    <t>Q2 2015</t>
  </si>
  <si>
    <t>Q3 2015</t>
  </si>
  <si>
    <t>Q4 2015</t>
  </si>
  <si>
    <t>FY 2015</t>
  </si>
  <si>
    <t>Q1 2016</t>
  </si>
  <si>
    <t>Q2 2016</t>
  </si>
  <si>
    <t>Q3 2016</t>
  </si>
  <si>
    <t>Q4 2016</t>
  </si>
  <si>
    <t>FY 2016</t>
  </si>
  <si>
    <t>Q1 2017</t>
  </si>
  <si>
    <t>Q2 2017</t>
  </si>
  <si>
    <t>Q3 2017</t>
  </si>
  <si>
    <t>Q4 2017</t>
  </si>
  <si>
    <t>FY 2017</t>
  </si>
  <si>
    <t>Q1 2018</t>
  </si>
  <si>
    <t>Q2 2018</t>
  </si>
  <si>
    <t>Q3 2018</t>
  </si>
  <si>
    <t>Q4 2018</t>
  </si>
  <si>
    <t>FY 2018</t>
  </si>
  <si>
    <t>Q1 2019</t>
  </si>
  <si>
    <t>Q2 2019</t>
  </si>
  <si>
    <t>Q3 2019</t>
  </si>
  <si>
    <t>Q4 2019</t>
  </si>
  <si>
    <t>FY 2019</t>
  </si>
  <si>
    <t>Q1 2020</t>
  </si>
  <si>
    <t>Q2 2020</t>
  </si>
  <si>
    <t>Q3 2020</t>
  </si>
  <si>
    <t>Q4 2020</t>
  </si>
  <si>
    <t>FY 2020</t>
  </si>
  <si>
    <t>Q1 2021</t>
  </si>
  <si>
    <t>Q2 2021</t>
  </si>
  <si>
    <t>Q3 2021</t>
  </si>
  <si>
    <t>Q4 2021</t>
  </si>
  <si>
    <t>FY 2021</t>
  </si>
  <si>
    <t>Q1 2022</t>
  </si>
  <si>
    <t>Q2 2022</t>
  </si>
  <si>
    <t>Q3 2022</t>
  </si>
  <si>
    <t>Q4 2022</t>
  </si>
  <si>
    <t>FY 2022</t>
  </si>
  <si>
    <t>Q1 2023</t>
  </si>
  <si>
    <t>Q2 2023</t>
  </si>
  <si>
    <t>Q3 2023</t>
  </si>
  <si>
    <t>Q4 2023</t>
  </si>
  <si>
    <t>FY 2023</t>
  </si>
  <si>
    <t>Q1 2024</t>
  </si>
  <si>
    <t>Revenue</t>
  </si>
  <si>
    <t>Cost of revenue</t>
  </si>
  <si>
    <t>Traffic acquisition cost</t>
  </si>
  <si>
    <t>Other cost of revenue</t>
  </si>
  <si>
    <t>Gross profit</t>
  </si>
  <si>
    <t>Operating expenses:</t>
  </si>
  <si>
    <t>Research and development expenses</t>
  </si>
  <si>
    <t>Sales and operations expenses</t>
  </si>
  <si>
    <t>General and administrative expenses</t>
  </si>
  <si>
    <t>Total Operating expenses</t>
  </si>
  <si>
    <t>Income (loss) from operations</t>
  </si>
  <si>
    <t>Financial and Other income (expense)</t>
  </si>
  <si>
    <t>Income (loss) before taxes</t>
  </si>
  <si>
    <t>(Provision) Benefit for income taxes</t>
  </si>
  <si>
    <t>Net Income (loss)</t>
  </si>
  <si>
    <t>Net income (loss) available to shareholders of Criteo S.A</t>
  </si>
  <si>
    <t>Net income (loss) available to non-controlling interests</t>
  </si>
  <si>
    <t>Weighted average shares outstanding used in computing per share amounts:</t>
  </si>
  <si>
    <t>Basic</t>
  </si>
  <si>
    <t>Diluted</t>
  </si>
  <si>
    <t>Net income (loss) allocated  to shareholders per share:</t>
  </si>
  <si>
    <t>Consolidated Statement of Cash Flows</t>
  </si>
  <si>
    <t>Net income (loss)</t>
  </si>
  <si>
    <t>Non-cash and non-operating items</t>
  </si>
  <si>
    <t>- Amortization and provisions</t>
  </si>
  <si>
    <t>- Payment for contingent liability on regulatory matters</t>
  </si>
  <si>
    <t xml:space="preserve"> — </t>
  </si>
  <si>
    <t>- Equity awards compensation expense</t>
  </si>
  <si>
    <t>- Net gain or (loss) on disposal of non-current assets</t>
  </si>
  <si>
    <t>- Interest accrued and non-cash financial income and expenses</t>
  </si>
  <si>
    <t xml:space="preserve">- Change in uncertain tax positions </t>
  </si>
  <si>
    <t>- Net change in fair value of Earn-out</t>
  </si>
  <si>
    <t>- Change in deferred taxes</t>
  </si>
  <si>
    <t>Income tax for the period</t>
  </si>
  <si>
    <t>Income taxes paid</t>
  </si>
  <si>
    <t xml:space="preserve">— </t>
  </si>
  <si>
    <t>- Change in income taxes</t>
  </si>
  <si>
    <t>- Other (1)</t>
  </si>
  <si>
    <t>Changes in working capital related to operating activities</t>
  </si>
  <si>
    <t>- (Increase)/decrease in trade receivables</t>
  </si>
  <si>
    <t>- Increase/(decrease) in trade payables</t>
  </si>
  <si>
    <t>- (Increase)/decrease in other current assets</t>
  </si>
  <si>
    <t>- Increase/(decrease) in other current liabilities (1)</t>
  </si>
  <si>
    <t>- Change in derivatives</t>
  </si>
  <si>
    <t>- Change in operating lease liabilities and right of use assets</t>
  </si>
  <si>
    <t>CASH FROM OPERATING ACTIVITIES</t>
  </si>
  <si>
    <t>Acquisition of intangible assets, property, plant and equipment</t>
  </si>
  <si>
    <t>Change in accounts payable related to intangible assets, property, plant and equipment</t>
  </si>
  <si>
    <t xml:space="preserve">Payment for intangibles assets acquired </t>
  </si>
  <si>
    <t>(Payment for) disposal of a business, net of cash acquired (disposed)</t>
  </si>
  <si>
    <t>Proceeds from disposition of investment</t>
  </si>
  <si>
    <t>Change in payables related to investing activities</t>
  </si>
  <si>
    <t>Change in other non-current financial assets</t>
  </si>
  <si>
    <t>CASH USED FOR INVESTING ACTIVITIES</t>
  </si>
  <si>
    <t>Proceeds from borrowings under line-of-credit agreement</t>
  </si>
  <si>
    <t>—</t>
  </si>
  <si>
    <t>Repayment of borrowings</t>
  </si>
  <si>
    <t>Proceeds from exercise of stock options</t>
  </si>
  <si>
    <t>Change in other financial liabilities (1)</t>
  </si>
  <si>
    <t>Repurchase of treasury stocks</t>
  </si>
  <si>
    <t xml:space="preserve">Cash payment for contingent consideration </t>
  </si>
  <si>
    <t>Change in other financing activities</t>
  </si>
  <si>
    <t>CASH FROM (USED FOR) FINANCING ACTIVITIES</t>
  </si>
  <si>
    <t>Effect of exchange rates changes on cash and cash equivalents (1)</t>
  </si>
  <si>
    <t>Net increase (decrease) in cash and cash equivalents and restricted cash</t>
  </si>
  <si>
    <t>Net cash and cash equivalents  and restricted cash at beginning of period</t>
  </si>
  <si>
    <t>Net cash and cash equivalents and restricted cash at end of period</t>
  </si>
  <si>
    <t>SUPPLEMENTAL DISCLOSURE OF CASH FLOW INFORMATION</t>
  </si>
  <si>
    <t>Cash paid for taxes</t>
  </si>
  <si>
    <t>Cash paid for interest, net of amounts capitalized</t>
  </si>
  <si>
    <t>X</t>
  </si>
  <si>
    <t>(1) Since Q3 2017, the Company reported the cash impact of the settlement of hedging derivatives related to financing activities in cash from (used for) financing activities in the unaudited consolidated statements of cash flows.</t>
  </si>
  <si>
    <t>Reconciliation of Cash from Operating Activities to Free Cash Flow</t>
  </si>
  <si>
    <t>Proceeds from disposal of intangible assets, property, plant and equipment</t>
  </si>
  <si>
    <r>
      <t xml:space="preserve">FREE CASH FLOW </t>
    </r>
    <r>
      <rPr>
        <b/>
        <vertAlign val="superscript"/>
        <sz val="10"/>
        <color rgb="FF000000"/>
        <rFont val="Arial"/>
        <family val="2"/>
        <scheme val="minor"/>
      </rPr>
      <t>(1)</t>
    </r>
  </si>
  <si>
    <t>(1) Free Cash Flow is defined as cash flow from operating activities less acquisition of intangible assets, property, plant and equipment and change in accounts payable related to intangible assets, property, plant and equipment.</t>
  </si>
  <si>
    <t>Reconciliation of Contribution ex-TAC to Gross Profit</t>
  </si>
  <si>
    <t>Gross Profit</t>
  </si>
  <si>
    <t>Other Cost of Revenue</t>
  </si>
  <si>
    <t>Contribution ex-TAC (1)</t>
  </si>
  <si>
    <t>Americas</t>
  </si>
  <si>
    <t>EMEA</t>
  </si>
  <si>
    <t>Total</t>
  </si>
  <si>
    <t>Traffic acquisition costs</t>
  </si>
  <si>
    <t>Segment</t>
  </si>
  <si>
    <t>Retail Media (2)</t>
  </si>
  <si>
    <t>Performance Media</t>
  </si>
  <si>
    <r>
      <t xml:space="preserve">(1) We define Contribution ex-TAC as our revenue excluding traffic acquisition costs generated over the applicable measurement period. Contribution ex-TAC, is not a measure calculated in accordance with U.S. GAAP. We have included Contribution ex-TAC because it is a key measure used by our management and board of directors to evaluate operating performance, generate future operating plans and make strategic decisions regarding the allocation of capital. In particular, we believe that the elimination of TAC from revenue and review of this measure can provide useful measures for period-to-period comparisons of our business. Accordingly, we believe that Contribution ex-TAC provides useful information to investors and others in understanding and evaluating our results of operations in the same manner as our management and board of directors.
Our use of Contribution ex-TAC has limitations as an analytical tool, and you should not consider them in isolation or as a substitute for analysis of our financial results as </t>
    </r>
    <r>
      <rPr>
        <sz val="10"/>
        <rFont val="Arial"/>
        <family val="2"/>
        <scheme val="minor"/>
      </rPr>
      <t>reported under U.S. GAAP. Some of these limitations are: (a) other companies, including companies in our industry which have similar business arrangements, may address the impact of TAC differently; (b) other companies may report Contribution ex-TAC or similarly titled measures but calculate them differently, which reduces their usefulness as a comparative measure. Because of these and other limitations, you should consider Contribution ex-TAC alongside our other U.S. GAAP financial result measures. The above tables provide a reconciliation of Contribution ex-TAC to gross profit.
(2) Criteo operates as two reportable segments from January 1, 2024. The table above presents the operating results of our Performance Media and Retail Media segments.
A strategic building block of Criteo’s Commerce Media Platform, the Retail Media Platform, introduced in June 2020, and reported under the retail media segment, is a selfservice solution providing transparency, measurement and control to brands and retailers. In all arrangements running on this platform, Criteo recognizes revenue on a net basis, whereas revenue from arrangements running on legacy Retail Media solutions were accounted for on a gross basis. Most clients using Criteo’s legacy Retail Media solutions transitioned to this platform by the end of 2022. As new clients onboarded and existing clients transitioned to the Retail Media Platform, Revenue declined but Contribution ex-TAC margin increased. Contribution ex-TAC has not been impacted by this transition.</t>
    </r>
  </si>
  <si>
    <t>Reconciliation of Adjusted EBITDA to Net income</t>
  </si>
  <si>
    <t>Adjustments:</t>
  </si>
  <si>
    <t>Financial (income) expense</t>
  </si>
  <si>
    <t>Provision for income taxes</t>
  </si>
  <si>
    <t>Equity awards compensation expense</t>
  </si>
  <si>
    <t>Research and development</t>
  </si>
  <si>
    <t>Sales and operations</t>
  </si>
  <si>
    <t>General and administrative</t>
  </si>
  <si>
    <t>Pension service costs</t>
  </si>
  <si>
    <t>Depreciation and amortization expense</t>
  </si>
  <si>
    <t>Cost of revenue (data center equipment)</t>
  </si>
  <si>
    <t>Acquisition-related costs</t>
  </si>
  <si>
    <t>Acquisition-related deferred price consideration</t>
  </si>
  <si>
    <t>Loss contingency on regulatory matter</t>
  </si>
  <si>
    <t>Restructuring, integration and transformation costs</t>
  </si>
  <si>
    <t>Total net adjustments</t>
  </si>
  <si>
    <t>Adjusted EBITDA (1)</t>
  </si>
  <si>
    <t>(1) We define Adjusted EBITDA as our consolidated earnings before financial income (expense), income taxes, depreciation and amortization, adjusted to eliminate the impact of equity awards compensation expense, pension service costs, restructuring costs, acquisition-related costs and deferred price consideration. Adjusted EBITDA is not a measure calculated in accordance with U.S. GAAP. We have included Adjusted EBITDA because it is a key measure used by our management and board of directors to understand and evaluate our core operating performance and trends, to prepare and approve our annual budget and to develop short-term and long-term operational plans. In particular, we believe that the elimination of equity awards compensation expense, pension service costs, restructuring costs, acquisition-related costs and deferred price consideration in calculating Adjusted EBITDA can provide a useful measure for period-to-period comparisons of our business. Accordingly, we believe that Adjusted EBITDA provides useful information to investors and others in understanding and evaluating our results of operations in the same manner as our management and board of directors. Our use of Adjusted EBITDA has limitations as an analytical tool, and you should not consider it in isolation or as a substitute for analysis of our financial results as reported under U.S. GAAP. Some of these limitations are: (a) although depreciation and amortization are non-cash charges, the assets being depreciated and amortized may have to be replaced in the future, and Adjusted EBITDA does not reflect cash capital expenditure requirements for such replacements or for new capital expenditure requirements; (b) Adjusted EBITDA does not reflect changes in, or cash requirements for, our working capital needs; (c) Adjusted EBITDA does not reflect the potentially dilutive impact of equity-based compensation; (d) Adjusted EBITDA does not reflect tax payments that may represent a reduction in cash available to us; and (e) other companies, including companies in our industry, may calculate Adjusted EBITDA or similarly titled measures differently, which reduces their usefulness as a comparative measure. Because of these and other limitations, you should consider Adjusted EBITDA alongside our U.S. GAAP financial results, including net income.</t>
  </si>
  <si>
    <t>Reconciliation from Non-GAAP Operating Expenses to Operating Expenses under GAAP</t>
  </si>
  <si>
    <t>(U.S. dollars in thousands) (unASdited)</t>
  </si>
  <si>
    <t>Research and Development expenses</t>
  </si>
  <si>
    <t>Depreciation and Amortization expense</t>
  </si>
  <si>
    <t>Non GAAP - Research and Development expenses</t>
  </si>
  <si>
    <t>Sales and Operations expenses</t>
  </si>
  <si>
    <t>Non GAAP - Sales and Operations expenses</t>
  </si>
  <si>
    <t>General and Administrative expenses</t>
  </si>
  <si>
    <t>Non GAAP - General and Administrative expenses</t>
  </si>
  <si>
    <t>Total Non GAAP Operating expenses (1)</t>
  </si>
  <si>
    <t>(1) We define Non-GAAP Operating Expenses as our consolidated operating expenses adjusted to eliminate the impact of depreciation and amortization, equity awards compensation expense, pension service costs, restructuring costs, acquisition-related costs and deferred price consideration. The Company uses Non-GAAP Operating Expenses to understand and compare operating results across accounting periods, for internal budgeting and forecasting purposes, for short-term and long-term operational plans, and to assess and measure our financial performance and the ability of our operations to generate cash. We believe Non-GAAP Operating Expenses reflects our ongoing operating expenses in a manner that allows for meaningful period-to-period comparisons and analysis of trends in our business. As a result, we believe that Non-GAAP Operating Expenses provides useful information to investors in understanding and evaluating our core operating performance and trends in the same manner as our management and in comparing financial results across periods. In addition, Non-GAAP Operating Expenses is a key component in calculating Adjusted EBITDA, which is one of the key measures we use to provide our quarterly and annual business outlook to the investment community.</t>
  </si>
  <si>
    <t>Detailed Information on Selected Items</t>
  </si>
  <si>
    <t>Total equity awards compensation expense</t>
  </si>
  <si>
    <t>Total pension service costs</t>
  </si>
  <si>
    <t>Total depreciation and amortization expense</t>
  </si>
  <si>
    <t>Total acquisition-related costs</t>
  </si>
  <si>
    <t>Total loss contingency on regulatory matter</t>
  </si>
  <si>
    <t>Total acquisition-related deferred price consideration</t>
  </si>
  <si>
    <t>Total restructuring</t>
  </si>
  <si>
    <t>Reconciliation of Adjusted Net Income to Net Income</t>
  </si>
  <si>
    <t>(U.S. dollars in thousands except share and per share data) (unaudited)</t>
  </si>
  <si>
    <t>Amortization of acquisition-related intangible assets</t>
  </si>
  <si>
    <t>Tax impact of the above adjustments</t>
  </si>
  <si>
    <r>
      <t>Adjusted net income</t>
    </r>
    <r>
      <rPr>
        <b/>
        <vertAlign val="superscript"/>
        <sz val="10"/>
        <color rgb="FF000000"/>
        <rFont val="Arial"/>
        <family val="2"/>
        <scheme val="minor"/>
      </rPr>
      <t>(1)</t>
    </r>
  </si>
  <si>
    <t>Weighted average shares outstanding</t>
  </si>
  <si>
    <t>- Basic</t>
  </si>
  <si>
    <t>- Diluted</t>
  </si>
  <si>
    <t>Adjusted net income per share</t>
  </si>
  <si>
    <t>(1) We define Adjusted Net Income as our net income adjusted to eliminate the impact of equity awards compensation expense, amortization of acquisition-related intangible assets, restructuring costs, acquisition-related costs and deferred price consideration and the tax impact of the foregoing adjustments. Adjusted Net Income is not a measure calculated in accordance with U.S. GAAP. We have included Adjusted Net Income because it is a key measure used by our management and board of directors to evaluate operating performance, generate future operating plans and make strategic decisions regarding the allocation of capital. In particular, we believe that the elimination of equity awards compensation expense, amortization of acquisition-related intangible assets, acquisition-related costs and deferred price consideration, restructuring costs and the tax impact of the foregoing adjustments in calculating Adjusted Net Income can provide a useful measure for period-to-period comparisons of our business. Accordingly, we believe that Adjusted Net Income provides useful information to investors and others in understanding and evaluating our results of operations in the same manner as our management and board of directors. Our use of Adjusted Net Income has limitations as an analytical tool, and you should not consider it in isolation or as a substitute for analysis of our financial results as reported under U.S. GAAP. Some of these limitations are: (a) Adjusted Net Income does not reflect the potentially dilutive impact of equity-based compensation or the impact of certain acquisition related costs; and (b) other companies, including companies in our industry, may calculate Adjusted Net Income or similarly titled measures differently, which reduces their usefulness as a comparative measure. Because of these and other limitations, you should consider Adjusted Net Income alongside our other U.S. GAAP-based financial results, including net income.</t>
  </si>
  <si>
    <t>Supplemental Financial Information and Operating Metrics</t>
  </si>
  <si>
    <t>(U.S. dollars in thousands except where stated) (unaudited)</t>
  </si>
  <si>
    <t>Q1
2022</t>
  </si>
  <si>
    <t>Q2
2022</t>
  </si>
  <si>
    <t>Q3
2022</t>
  </si>
  <si>
    <t>Q4
2022</t>
  </si>
  <si>
    <t>Q1
2023</t>
  </si>
  <si>
    <t>Q2
2023</t>
  </si>
  <si>
    <t>Q3
2023</t>
  </si>
  <si>
    <t>Q4
2023</t>
  </si>
  <si>
    <t>Q1  
2024</t>
  </si>
  <si>
    <t>Clients</t>
  </si>
  <si>
    <t>APAC</t>
  </si>
  <si>
    <t>Retail Media</t>
  </si>
  <si>
    <t>Performance Marketing</t>
  </si>
  <si>
    <t>TAC</t>
  </si>
  <si>
    <t>Revenue ex-TAC</t>
  </si>
  <si>
    <t>Contribution ex-TAC</t>
  </si>
  <si>
    <t>Cash flow from operating activities</t>
  </si>
  <si>
    <t>Capital expenditures</t>
  </si>
  <si>
    <t>Capital expenditures / Revenue</t>
  </si>
  <si>
    <t>Net cash position</t>
  </si>
  <si>
    <t>Headcount</t>
  </si>
  <si>
    <t>Days Sales Outstanding (days - end of month) (2)</t>
  </si>
  <si>
    <t>(1) Adjusted EBITDA is not a measure calculated in accordance with U.S. GAAP. See the table entitled "Reconciliation of Adjusted EBITDA to Net Income" for a reconciliation of Adjusted EBITDA to net income.</t>
  </si>
  <si>
    <t>(2)  Due to the conversion from IFRS (euros) to U.S. GAAP (U.S. dollars), the Days Sales Outstanding for historic quarters has not been recalculated and is not available.</t>
  </si>
  <si>
    <t>Information on Share Count</t>
  </si>
  <si>
    <t>(unaudited)</t>
  </si>
  <si>
    <t>Three Months Ended</t>
  </si>
  <si>
    <t>Six Months Ended</t>
  </si>
  <si>
    <t>Nine Months Ended</t>
  </si>
  <si>
    <t>Twelve Months Ended</t>
  </si>
  <si>
    <t>9/30/17</t>
  </si>
  <si>
    <t>Shares outstanding as at January 1</t>
  </si>
  <si>
    <t>Weighted average number of shares issued during the period</t>
  </si>
  <si>
    <t>Basic number of shares - Basic EPS basis</t>
  </si>
  <si>
    <t>Dilutive effect of  share options, warrants, employee warrants - Treasury method</t>
  </si>
  <si>
    <t>Diluted number of shares - Diluted EPS basis</t>
  </si>
  <si>
    <t>Shares issued as of end of Quarter, before treasury stocks</t>
  </si>
  <si>
    <t>Treasury stock as of end of Quarter</t>
  </si>
  <si>
    <t>Shares outstanding as at end of Quarter, after treasury stocks</t>
  </si>
  <si>
    <t>Total dilutive effect of share options, warrants, employee warrants</t>
  </si>
  <si>
    <t>Fully diluted shares as at end of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</si>
</sst>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3" formatCode="_(* #,##0.00_);_(* \(#,##0.00\);_(* &quot;-&quot;??_);_(@_)"/>
    <numFmt numFmtId="164" formatCode="_(&quot;$&quot;* #,##0_);_(&quot;$&quot;* \(#,##0\);_(&quot;$&quot;* &quot;—&quot;_);_(@_)"/>
    <numFmt numFmtId="165" formatCode="_(#,##0_);_(\(#,##0\);_(&quot;—&quot;_);_(@_)"/>
    <numFmt numFmtId="166" formatCode="#,##0_)%;\(#,##0\)%;&quot;—&quot;\%;_(@_)"/>
    <numFmt numFmtId="167" formatCode="_(&quot;$&quot;* #,##0.00_);_(&quot;$&quot;* \(#,##0.00\);_(&quot;$&quot;* &quot;—&quot;_);_(@_)"/>
    <numFmt numFmtId="168" formatCode="m/d/yy;@"/>
    <numFmt numFmtId="169" formatCode="0.0%"/>
    <numFmt numFmtId="170" formatCode="_(&quot;€&quot;* #,##0.00_);_(&quot;€&quot;* \(#,##0.00\);_(&quot;€&quot;* &quot;-&quot;??_);_(@_)"/>
    <numFmt numFmtId="171" formatCode="_-* #,##0.00\ _€_-;\-* #,##0.00\ _€_-;_-* &quot;-&quot;??\ _€_-;_-@_-"/>
    <numFmt numFmtId="172" formatCode="###,000"/>
    <numFmt numFmtId="173" formatCode="_-* #,##0_-;\-* #,##0_-;_-* &quot;-&quot;??_-;_-@_-"/>
  </numFmts>
  <fonts count="34" x14ac:knownFonts="1">
    <font>
      <sz val="10"/>
      <color rgb="FF000000"/>
      <name val="Times New Roman"/>
    </font>
    <font>
      <sz val="11"/>
      <color theme="1"/>
      <name val="Arial"/>
      <family val="2"/>
      <scheme val="minor"/>
    </font>
    <font>
      <b/>
      <sz val="10"/>
      <color rgb="FF000000"/>
      <name val="Arial"/>
      <family val="2"/>
      <scheme val="minor"/>
    </font>
    <font>
      <sz val="10"/>
      <color rgb="FF000000"/>
      <name val="Arial"/>
      <family val="2"/>
      <scheme val="minor"/>
    </font>
    <font>
      <sz val="10"/>
      <color rgb="FF0000FF"/>
      <name val="Arial"/>
      <family val="2"/>
      <scheme val="minor"/>
    </font>
    <font>
      <i/>
      <sz val="10"/>
      <color rgb="FF000000"/>
      <name val="Arial"/>
      <family val="2"/>
      <scheme val="minor"/>
    </font>
    <font>
      <sz val="10"/>
      <name val="Arial"/>
      <family val="2"/>
      <scheme val="minor"/>
    </font>
    <font>
      <b/>
      <sz val="10"/>
      <name val="Arial"/>
      <family val="2"/>
      <scheme val="minor"/>
    </font>
    <font>
      <b/>
      <vertAlign val="superscript"/>
      <sz val="10"/>
      <color rgb="FF000000"/>
      <name val="Arial"/>
      <family val="2"/>
      <scheme val="minor"/>
    </font>
    <font>
      <b/>
      <sz val="10"/>
      <color rgb="FF333333"/>
      <name val="Arial"/>
      <family val="2"/>
      <scheme val="minor"/>
    </font>
    <font>
      <sz val="10"/>
      <color rgb="FF333333"/>
      <name val="Arial"/>
      <family val="2"/>
      <scheme val="minor"/>
    </font>
    <font>
      <b/>
      <sz val="10"/>
      <color rgb="FF0000FF"/>
      <name val="Arial"/>
      <family val="2"/>
      <scheme val="minor"/>
    </font>
    <font>
      <sz val="10"/>
      <color rgb="FF000000"/>
      <name val="Times New Roman"/>
      <family val="1"/>
    </font>
    <font>
      <sz val="10"/>
      <color rgb="FFFF0000"/>
      <name val="Arial"/>
      <family val="2"/>
      <scheme val="minor"/>
    </font>
    <font>
      <sz val="8"/>
      <name val="Times New Roman"/>
      <family val="1"/>
    </font>
    <font>
      <sz val="11"/>
      <name val="Calibri"/>
      <family val="2"/>
    </font>
    <font>
      <u/>
      <sz val="11"/>
      <color theme="10"/>
      <name val="Arial"/>
      <family val="2"/>
      <scheme val="minor"/>
    </font>
    <font>
      <sz val="8"/>
      <color rgb="FF1F497D"/>
      <name val="Verdana"/>
      <family val="2"/>
    </font>
    <font>
      <b/>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color rgb="FF000000"/>
      <name val="Arial"/>
      <family val="2"/>
    </font>
    <font>
      <sz val="8"/>
      <color rgb="FFDBE5F1"/>
      <name val="Verdana"/>
      <family val="2"/>
    </font>
    <font>
      <sz val="10"/>
      <color rgb="FF92D050"/>
      <name val="Arial"/>
      <family val="2"/>
      <scheme val="minor"/>
    </font>
    <font>
      <sz val="10"/>
      <color rgb="FF000000"/>
      <name val="Times New Roman"/>
    </font>
    <font>
      <sz val="10"/>
      <color theme="1"/>
      <name val="Arial"/>
      <family val="2"/>
      <scheme val="minor"/>
    </font>
  </fonts>
  <fills count="25">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1" tint="0.79998168889431442"/>
        <bgColor indexed="64"/>
      </patternFill>
    </fill>
    <fill>
      <patternFill patternType="solid">
        <fgColor theme="0"/>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FFC000"/>
        <bgColor indexed="64"/>
      </patternFill>
    </fill>
    <fill>
      <patternFill patternType="solid">
        <fgColor rgb="FFFFFF00"/>
        <bgColor indexed="64"/>
      </patternFill>
    </fill>
  </fills>
  <borders count="20">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medium">
        <color rgb="FFFF0000"/>
      </left>
      <right style="medium">
        <color rgb="FFFF0000"/>
      </right>
      <top style="medium">
        <color rgb="FFFF0000"/>
      </top>
      <bottom style="medium">
        <color rgb="FFFF0000"/>
      </bottom>
      <diagonal/>
    </border>
  </borders>
  <cellStyleXfs count="67">
    <xf numFmtId="0" fontId="0" fillId="0" borderId="0"/>
    <xf numFmtId="9" fontId="12" fillId="0" borderId="0" applyFont="0" applyFill="0" applyBorder="0" applyAlignment="0" applyProtection="0"/>
    <xf numFmtId="0" fontId="1" fillId="0" borderId="0"/>
    <xf numFmtId="9" fontId="1"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171" fontId="1" fillId="0" borderId="0" applyFont="0" applyFill="0" applyBorder="0" applyAlignment="0" applyProtection="0"/>
    <xf numFmtId="170" fontId="1" fillId="0" borderId="0" applyFont="0" applyFill="0" applyBorder="0" applyAlignment="0" applyProtection="0"/>
    <xf numFmtId="0" fontId="16" fillId="0" borderId="0" applyNumberFormat="0" applyFill="0" applyBorder="0" applyAlignment="0" applyProtection="0"/>
    <xf numFmtId="172" fontId="17" fillId="0" borderId="14" applyNumberFormat="0" applyProtection="0">
      <alignment horizontal="right" vertical="center"/>
    </xf>
    <xf numFmtId="171" fontId="1" fillId="0" borderId="0" applyFont="0" applyFill="0" applyBorder="0" applyAlignment="0" applyProtection="0"/>
    <xf numFmtId="170" fontId="1" fillId="0" borderId="0" applyFont="0" applyFill="0" applyBorder="0" applyAlignment="0" applyProtection="0"/>
    <xf numFmtId="0" fontId="18" fillId="6" borderId="15" applyNumberFormat="0" applyAlignment="0" applyProtection="0">
      <alignment horizontal="left" vertical="center" indent="1"/>
    </xf>
    <xf numFmtId="172" fontId="18" fillId="0" borderId="16" applyNumberFormat="0" applyProtection="0">
      <alignment horizontal="right" vertical="center"/>
    </xf>
    <xf numFmtId="0" fontId="19" fillId="7" borderId="16" applyNumberFormat="0" applyAlignment="0" applyProtection="0">
      <alignment horizontal="left" vertical="center" indent="1"/>
    </xf>
    <xf numFmtId="0" fontId="19" fillId="8" borderId="16" applyNumberFormat="0" applyAlignment="0" applyProtection="0">
      <alignment horizontal="left" vertical="center" indent="1"/>
    </xf>
    <xf numFmtId="172" fontId="17" fillId="9" borderId="14" applyNumberFormat="0" applyBorder="0" applyProtection="0">
      <alignment horizontal="right" vertical="center"/>
    </xf>
    <xf numFmtId="0" fontId="19" fillId="7" borderId="16" applyNumberFormat="0" applyAlignment="0" applyProtection="0">
      <alignment horizontal="left" vertical="center" indent="1"/>
    </xf>
    <xf numFmtId="172" fontId="18" fillId="8" borderId="16" applyNumberFormat="0" applyProtection="0">
      <alignment horizontal="right" vertical="center"/>
    </xf>
    <xf numFmtId="172" fontId="18" fillId="9" borderId="16" applyNumberFormat="0" applyBorder="0" applyProtection="0">
      <alignment horizontal="right" vertical="center"/>
    </xf>
    <xf numFmtId="172" fontId="20" fillId="10" borderId="17" applyNumberFormat="0" applyBorder="0" applyAlignment="0" applyProtection="0">
      <alignment horizontal="right" vertical="center" indent="1"/>
    </xf>
    <xf numFmtId="172" fontId="21" fillId="11" borderId="17" applyNumberFormat="0" applyBorder="0" applyAlignment="0" applyProtection="0">
      <alignment horizontal="right" vertical="center" indent="1"/>
    </xf>
    <xf numFmtId="172" fontId="21" fillId="12" borderId="17" applyNumberFormat="0" applyBorder="0" applyAlignment="0" applyProtection="0">
      <alignment horizontal="right" vertical="center" indent="1"/>
    </xf>
    <xf numFmtId="172" fontId="22" fillId="13" borderId="17" applyNumberFormat="0" applyBorder="0" applyAlignment="0" applyProtection="0">
      <alignment horizontal="right" vertical="center" indent="1"/>
    </xf>
    <xf numFmtId="172" fontId="22" fillId="14" borderId="17" applyNumberFormat="0" applyBorder="0" applyAlignment="0" applyProtection="0">
      <alignment horizontal="right" vertical="center" indent="1"/>
    </xf>
    <xf numFmtId="172" fontId="22" fillId="15" borderId="17" applyNumberFormat="0" applyBorder="0" applyAlignment="0" applyProtection="0">
      <alignment horizontal="right" vertical="center" indent="1"/>
    </xf>
    <xf numFmtId="172" fontId="23" fillId="16" borderId="17" applyNumberFormat="0" applyBorder="0" applyAlignment="0" applyProtection="0">
      <alignment horizontal="right" vertical="center" indent="1"/>
    </xf>
    <xf numFmtId="172" fontId="23" fillId="17" borderId="17" applyNumberFormat="0" applyBorder="0" applyAlignment="0" applyProtection="0">
      <alignment horizontal="right" vertical="center" indent="1"/>
    </xf>
    <xf numFmtId="172" fontId="23" fillId="18" borderId="17" applyNumberFormat="0" applyBorder="0" applyAlignment="0" applyProtection="0">
      <alignment horizontal="right" vertical="center" indent="1"/>
    </xf>
    <xf numFmtId="0" fontId="24" fillId="0" borderId="15" applyNumberFormat="0" applyFont="0" applyFill="0" applyAlignment="0" applyProtection="0"/>
    <xf numFmtId="172" fontId="17" fillId="19" borderId="15" applyNumberFormat="0" applyAlignment="0" applyProtection="0">
      <alignment horizontal="left" vertical="center" indent="1"/>
    </xf>
    <xf numFmtId="0" fontId="18" fillId="6" borderId="16" applyNumberFormat="0" applyAlignment="0" applyProtection="0">
      <alignment horizontal="left" vertical="center" indent="1"/>
    </xf>
    <xf numFmtId="0" fontId="19" fillId="20" borderId="15" applyNumberFormat="0" applyAlignment="0" applyProtection="0">
      <alignment horizontal="left" vertical="center" indent="1"/>
    </xf>
    <xf numFmtId="0" fontId="19" fillId="21" borderId="15" applyNumberFormat="0" applyAlignment="0" applyProtection="0">
      <alignment horizontal="left" vertical="center" indent="1"/>
    </xf>
    <xf numFmtId="0" fontId="19" fillId="22" borderId="15" applyNumberFormat="0" applyAlignment="0" applyProtection="0">
      <alignment horizontal="left" vertical="center" indent="1"/>
    </xf>
    <xf numFmtId="0" fontId="19" fillId="9" borderId="15" applyNumberFormat="0" applyAlignment="0" applyProtection="0">
      <alignment horizontal="left" vertical="center" indent="1"/>
    </xf>
    <xf numFmtId="0" fontId="19" fillId="8" borderId="16" applyNumberFormat="0" applyAlignment="0" applyProtection="0">
      <alignment horizontal="left" vertical="center" indent="1"/>
    </xf>
    <xf numFmtId="0" fontId="25" fillId="0" borderId="18" applyNumberFormat="0" applyFill="0" applyBorder="0" applyAlignment="0" applyProtection="0"/>
    <xf numFmtId="0" fontId="26" fillId="0" borderId="18" applyNumberFormat="0" applyBorder="0" applyAlignment="0" applyProtection="0"/>
    <xf numFmtId="0" fontId="25" fillId="7" borderId="16" applyNumberFormat="0" applyAlignment="0" applyProtection="0">
      <alignment horizontal="left" vertical="center" indent="1"/>
    </xf>
    <xf numFmtId="0" fontId="25" fillId="7" borderId="16" applyNumberFormat="0" applyAlignment="0" applyProtection="0">
      <alignment horizontal="left" vertical="center" indent="1"/>
    </xf>
    <xf numFmtId="0" fontId="25" fillId="8" borderId="16" applyNumberFormat="0" applyAlignment="0" applyProtection="0">
      <alignment horizontal="left" vertical="center" indent="1"/>
    </xf>
    <xf numFmtId="172" fontId="27" fillId="8" borderId="16" applyNumberFormat="0" applyProtection="0">
      <alignment horizontal="right" vertical="center"/>
    </xf>
    <xf numFmtId="172" fontId="28" fillId="9" borderId="14" applyNumberFormat="0" applyBorder="0" applyProtection="0">
      <alignment horizontal="right" vertical="center"/>
    </xf>
    <xf numFmtId="172" fontId="27" fillId="9" borderId="16" applyNumberFormat="0" applyBorder="0" applyProtection="0">
      <alignment horizontal="right" vertical="center"/>
    </xf>
    <xf numFmtId="172" fontId="17" fillId="19" borderId="15" applyNumberFormat="0" applyAlignment="0" applyProtection="0">
      <alignment horizontal="left" vertical="center" indent="1"/>
    </xf>
    <xf numFmtId="0" fontId="29" fillId="0" borderId="0"/>
    <xf numFmtId="43" fontId="1" fillId="0" borderId="0" applyFont="0" applyFill="0" applyBorder="0" applyAlignment="0" applyProtection="0"/>
    <xf numFmtId="0" fontId="19" fillId="7" borderId="16" applyNumberFormat="0" applyAlignment="0">
      <alignment horizontal="left" vertical="center" indent="1"/>
      <protection locked="0"/>
    </xf>
    <xf numFmtId="172" fontId="17" fillId="9" borderId="14" applyNumberFormat="0" applyBorder="0">
      <alignment horizontal="right" vertical="center"/>
      <protection locked="0"/>
    </xf>
    <xf numFmtId="0" fontId="19" fillId="7" borderId="16" applyNumberFormat="0" applyAlignment="0">
      <alignment horizontal="left" vertical="center" indent="1"/>
      <protection locked="0"/>
    </xf>
    <xf numFmtId="172" fontId="18" fillId="9" borderId="16" applyNumberFormat="0" applyBorder="0">
      <alignment horizontal="right" vertical="center"/>
      <protection locked="0"/>
    </xf>
    <xf numFmtId="172" fontId="30" fillId="19" borderId="0" applyNumberFormat="0" applyAlignment="0" applyProtection="0">
      <alignment horizontal="left" vertical="center" indent="1"/>
    </xf>
    <xf numFmtId="0" fontId="24" fillId="0" borderId="19" applyNumberFormat="0" applyFont="0" applyFill="0" applyAlignment="0" applyProtection="0"/>
    <xf numFmtId="172" fontId="17" fillId="0" borderId="14" applyNumberFormat="0" applyFill="0" applyBorder="0" applyAlignment="0" applyProtection="0">
      <alignment horizontal="right" vertical="center"/>
    </xf>
    <xf numFmtId="0" fontId="25" fillId="7" borderId="16" applyNumberFormat="0" applyAlignment="0">
      <alignment horizontal="left" vertical="center" indent="1"/>
      <protection locked="0"/>
    </xf>
    <xf numFmtId="0" fontId="25" fillId="7" borderId="16" applyNumberFormat="0" applyAlignment="0">
      <alignment horizontal="left" vertical="center" indent="1"/>
      <protection locked="0"/>
    </xf>
    <xf numFmtId="172" fontId="28" fillId="9" borderId="14" applyNumberFormat="0" applyBorder="0">
      <alignment horizontal="right" vertical="center"/>
      <protection locked="0"/>
    </xf>
    <xf numFmtId="172" fontId="27" fillId="9" borderId="16" applyNumberFormat="0" applyBorder="0">
      <alignment horizontal="right" vertical="center"/>
      <protection locked="0"/>
    </xf>
    <xf numFmtId="172" fontId="17" fillId="0" borderId="14" applyNumberFormat="0" applyFill="0" applyBorder="0" applyAlignment="0" applyProtection="0">
      <alignment horizontal="righ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32" fillId="0" borderId="0" applyFont="0" applyFill="0" applyBorder="0" applyAlignment="0" applyProtection="0"/>
  </cellStyleXfs>
  <cellXfs count="325">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left"/>
    </xf>
    <xf numFmtId="0" fontId="2" fillId="0" borderId="2" xfId="0" applyFont="1" applyBorder="1" applyAlignment="1">
      <alignment horizontal="right" wrapText="1"/>
    </xf>
    <xf numFmtId="0" fontId="3" fillId="0" borderId="0" xfId="0" applyFont="1"/>
    <xf numFmtId="0" fontId="3" fillId="2" borderId="0" xfId="0" applyFont="1" applyFill="1" applyAlignment="1">
      <alignment horizontal="left"/>
    </xf>
    <xf numFmtId="0" fontId="2" fillId="2" borderId="2" xfId="0" applyFont="1" applyFill="1" applyBorder="1" applyAlignment="1">
      <alignment horizontal="right" wrapText="1"/>
    </xf>
    <xf numFmtId="164" fontId="7" fillId="2" borderId="2" xfId="0" applyNumberFormat="1" applyFont="1" applyFill="1" applyBorder="1"/>
    <xf numFmtId="0" fontId="3" fillId="2" borderId="0" xfId="0" applyFont="1" applyFill="1" applyAlignment="1">
      <alignment wrapText="1"/>
    </xf>
    <xf numFmtId="0" fontId="2" fillId="0" borderId="0" xfId="0" applyFont="1"/>
    <xf numFmtId="0" fontId="3" fillId="0" borderId="0" xfId="0" quotePrefix="1" applyFont="1" applyAlignment="1">
      <alignment vertical="center"/>
    </xf>
    <xf numFmtId="0" fontId="3" fillId="0" borderId="0" xfId="0" applyFont="1" applyAlignment="1">
      <alignment vertical="center"/>
    </xf>
    <xf numFmtId="0" fontId="2" fillId="0" borderId="1" xfId="0" applyFont="1" applyBorder="1" applyAlignment="1">
      <alignment wrapText="1"/>
    </xf>
    <xf numFmtId="0" fontId="2" fillId="0" borderId="1" xfId="0" applyFont="1" applyBorder="1" applyAlignment="1">
      <alignment horizontal="right" wrapText="1"/>
    </xf>
    <xf numFmtId="0" fontId="2" fillId="2" borderId="1" xfId="0" applyFont="1" applyFill="1" applyBorder="1" applyAlignment="1">
      <alignment horizontal="right" wrapText="1"/>
    </xf>
    <xf numFmtId="0" fontId="5" fillId="0" borderId="0" xfId="0" applyFont="1" applyAlignment="1">
      <alignment horizontal="right" wrapText="1"/>
    </xf>
    <xf numFmtId="0" fontId="2" fillId="0" borderId="0" xfId="0" applyFont="1" applyAlignment="1">
      <alignment horizontal="left"/>
    </xf>
    <xf numFmtId="0" fontId="9" fillId="0" borderId="0" xfId="0" applyFont="1" applyAlignment="1">
      <alignment wrapText="1"/>
    </xf>
    <xf numFmtId="0" fontId="3" fillId="0" borderId="3" xfId="0" applyFont="1" applyBorder="1" applyAlignment="1">
      <alignment horizontal="left"/>
    </xf>
    <xf numFmtId="0" fontId="3" fillId="2" borderId="3" xfId="0" applyFont="1" applyFill="1" applyBorder="1" applyAlignment="1">
      <alignment horizontal="left"/>
    </xf>
    <xf numFmtId="0" fontId="10" fillId="0" borderId="0" xfId="0" applyFont="1" applyAlignment="1">
      <alignment wrapText="1"/>
    </xf>
    <xf numFmtId="0" fontId="9" fillId="0" borderId="0" xfId="0" applyFont="1" applyAlignment="1">
      <alignment horizontal="right" wrapText="1"/>
    </xf>
    <xf numFmtId="0" fontId="2" fillId="0" borderId="7" xfId="0" applyFont="1" applyBorder="1" applyAlignment="1">
      <alignment horizontal="center" wrapText="1"/>
    </xf>
    <xf numFmtId="0" fontId="3" fillId="0" borderId="9" xfId="0" applyFont="1" applyBorder="1" applyAlignment="1">
      <alignment horizontal="left"/>
    </xf>
    <xf numFmtId="0" fontId="3" fillId="0" borderId="8" xfId="0" applyFont="1" applyBorder="1" applyAlignment="1">
      <alignment horizontal="left"/>
    </xf>
    <xf numFmtId="0" fontId="2" fillId="0" borderId="10" xfId="0" applyFont="1" applyBorder="1" applyAlignment="1">
      <alignment wrapText="1"/>
    </xf>
    <xf numFmtId="0" fontId="3" fillId="0" borderId="10" xfId="0" applyFont="1" applyBorder="1" applyAlignment="1">
      <alignment horizontal="left"/>
    </xf>
    <xf numFmtId="0" fontId="3" fillId="0" borderId="10" xfId="0" applyFont="1" applyBorder="1" applyAlignment="1">
      <alignment wrapText="1"/>
    </xf>
    <xf numFmtId="0" fontId="2" fillId="0" borderId="10" xfId="0" applyFont="1" applyBorder="1" applyAlignment="1">
      <alignment vertical="center" wrapText="1"/>
    </xf>
    <xf numFmtId="0" fontId="2" fillId="0" borderId="10" xfId="0" applyFont="1" applyBorder="1" applyAlignment="1">
      <alignment horizontal="left" vertical="center"/>
    </xf>
    <xf numFmtId="164" fontId="4" fillId="0" borderId="0" xfId="0" applyNumberFormat="1" applyFont="1"/>
    <xf numFmtId="164" fontId="3" fillId="0" borderId="5" xfId="0" applyNumberFormat="1" applyFont="1" applyBorder="1"/>
    <xf numFmtId="0" fontId="2" fillId="0" borderId="0" xfId="0" applyFont="1" applyAlignment="1">
      <alignment horizontal="center"/>
    </xf>
    <xf numFmtId="165" fontId="3" fillId="0" borderId="0" xfId="0" applyNumberFormat="1" applyFont="1" applyAlignment="1">
      <alignment horizontal="left"/>
    </xf>
    <xf numFmtId="164" fontId="6" fillId="0" borderId="0" xfId="0" applyNumberFormat="1" applyFont="1"/>
    <xf numFmtId="164" fontId="3" fillId="0" borderId="0" xfId="0" applyNumberFormat="1" applyFont="1" applyAlignment="1">
      <alignment horizontal="left"/>
    </xf>
    <xf numFmtId="165" fontId="6" fillId="0" borderId="0" xfId="0" applyNumberFormat="1" applyFont="1"/>
    <xf numFmtId="165" fontId="4" fillId="0" borderId="0" xfId="0" applyNumberFormat="1" applyFont="1"/>
    <xf numFmtId="165" fontId="3" fillId="0" borderId="5" xfId="0" applyNumberFormat="1" applyFont="1" applyBorder="1"/>
    <xf numFmtId="165" fontId="4" fillId="0" borderId="1" xfId="0" applyNumberFormat="1" applyFont="1" applyBorder="1"/>
    <xf numFmtId="165" fontId="3" fillId="0" borderId="2" xfId="0" applyNumberFormat="1" applyFont="1" applyBorder="1"/>
    <xf numFmtId="165" fontId="4" fillId="0" borderId="2" xfId="0" applyNumberFormat="1" applyFont="1" applyBorder="1"/>
    <xf numFmtId="164" fontId="3" fillId="0" borderId="4" xfId="0" applyNumberFormat="1" applyFont="1" applyBorder="1"/>
    <xf numFmtId="164" fontId="4" fillId="0" borderId="6" xfId="0" applyNumberFormat="1" applyFont="1" applyBorder="1"/>
    <xf numFmtId="167" fontId="3" fillId="0" borderId="4" xfId="0" applyNumberFormat="1" applyFont="1" applyBorder="1"/>
    <xf numFmtId="164" fontId="6" fillId="2" borderId="0" xfId="0" applyNumberFormat="1" applyFont="1" applyFill="1"/>
    <xf numFmtId="164" fontId="3" fillId="2" borderId="0" xfId="0" applyNumberFormat="1" applyFont="1" applyFill="1" applyAlignment="1">
      <alignment horizontal="left"/>
    </xf>
    <xf numFmtId="165" fontId="6" fillId="2" borderId="0" xfId="0" applyNumberFormat="1" applyFont="1" applyFill="1"/>
    <xf numFmtId="165" fontId="4" fillId="2" borderId="0" xfId="0" applyNumberFormat="1" applyFont="1" applyFill="1"/>
    <xf numFmtId="165" fontId="3" fillId="2" borderId="0" xfId="0" applyNumberFormat="1" applyFont="1" applyFill="1" applyAlignment="1">
      <alignment horizontal="left"/>
    </xf>
    <xf numFmtId="165" fontId="3" fillId="2" borderId="5" xfId="0" applyNumberFormat="1" applyFont="1" applyFill="1" applyBorder="1"/>
    <xf numFmtId="165" fontId="4" fillId="2" borderId="1" xfId="0" applyNumberFormat="1" applyFont="1" applyFill="1" applyBorder="1"/>
    <xf numFmtId="165" fontId="3" fillId="2" borderId="2" xfId="0" applyNumberFormat="1" applyFont="1" applyFill="1" applyBorder="1"/>
    <xf numFmtId="165" fontId="4" fillId="2" borderId="2" xfId="0" applyNumberFormat="1" applyFont="1" applyFill="1" applyBorder="1"/>
    <xf numFmtId="164" fontId="3" fillId="2" borderId="4" xfId="0" applyNumberFormat="1" applyFont="1" applyFill="1" applyBorder="1"/>
    <xf numFmtId="164" fontId="4" fillId="2" borderId="6" xfId="0" applyNumberFormat="1" applyFont="1" applyFill="1" applyBorder="1"/>
    <xf numFmtId="167" fontId="3" fillId="2" borderId="4" xfId="0" applyNumberFormat="1" applyFont="1" applyFill="1" applyBorder="1"/>
    <xf numFmtId="164" fontId="7" fillId="0" borderId="2" xfId="0" applyNumberFormat="1" applyFont="1" applyBorder="1"/>
    <xf numFmtId="165" fontId="4" fillId="0" borderId="3" xfId="0" applyNumberFormat="1" applyFont="1" applyBorder="1"/>
    <xf numFmtId="165" fontId="6" fillId="0" borderId="2" xfId="0" applyNumberFormat="1" applyFont="1" applyBorder="1"/>
    <xf numFmtId="164" fontId="6" fillId="0" borderId="2" xfId="0" applyNumberFormat="1" applyFont="1" applyBorder="1"/>
    <xf numFmtId="165" fontId="4" fillId="2" borderId="3" xfId="0" applyNumberFormat="1" applyFont="1" applyFill="1" applyBorder="1"/>
    <xf numFmtId="165" fontId="6" fillId="2" borderId="2" xfId="0" applyNumberFormat="1" applyFont="1" applyFill="1" applyBorder="1"/>
    <xf numFmtId="165" fontId="6" fillId="2" borderId="1" xfId="0" applyNumberFormat="1" applyFont="1" applyFill="1" applyBorder="1"/>
    <xf numFmtId="165" fontId="6" fillId="0" borderId="1" xfId="0" applyNumberFormat="1" applyFont="1" applyBorder="1"/>
    <xf numFmtId="164" fontId="7" fillId="0" borderId="0" xfId="0" applyNumberFormat="1" applyFont="1"/>
    <xf numFmtId="165" fontId="7" fillId="0" borderId="2" xfId="0" applyNumberFormat="1" applyFont="1" applyBorder="1"/>
    <xf numFmtId="165" fontId="2" fillId="0" borderId="2" xfId="0" applyNumberFormat="1" applyFont="1" applyBorder="1"/>
    <xf numFmtId="165" fontId="7" fillId="0" borderId="3" xfId="0" applyNumberFormat="1" applyFont="1" applyBorder="1"/>
    <xf numFmtId="165" fontId="6" fillId="0" borderId="3" xfId="0" applyNumberFormat="1" applyFont="1" applyBorder="1"/>
    <xf numFmtId="164" fontId="7" fillId="2" borderId="0" xfId="0" applyNumberFormat="1" applyFont="1" applyFill="1"/>
    <xf numFmtId="165" fontId="7" fillId="2" borderId="2" xfId="0" applyNumberFormat="1" applyFont="1" applyFill="1" applyBorder="1"/>
    <xf numFmtId="165" fontId="7" fillId="2" borderId="3" xfId="0" applyNumberFormat="1" applyFont="1" applyFill="1" applyBorder="1"/>
    <xf numFmtId="165" fontId="2" fillId="2" borderId="2" xfId="0" applyNumberFormat="1" applyFont="1" applyFill="1" applyBorder="1"/>
    <xf numFmtId="165" fontId="6" fillId="2" borderId="3" xfId="0" applyNumberFormat="1" applyFont="1" applyFill="1" applyBorder="1"/>
    <xf numFmtId="165" fontId="2" fillId="0" borderId="5" xfId="0" applyNumberFormat="1" applyFont="1" applyBorder="1"/>
    <xf numFmtId="165" fontId="3" fillId="0" borderId="0" xfId="0" applyNumberFormat="1" applyFont="1"/>
    <xf numFmtId="164" fontId="2" fillId="0" borderId="5" xfId="0" applyNumberFormat="1" applyFont="1" applyBorder="1"/>
    <xf numFmtId="165" fontId="2" fillId="2" borderId="5" xfId="0" applyNumberFormat="1" applyFont="1" applyFill="1" applyBorder="1"/>
    <xf numFmtId="165" fontId="11" fillId="0" borderId="11" xfId="0" applyNumberFormat="1" applyFont="1" applyBorder="1" applyAlignment="1">
      <alignment horizontal="center"/>
    </xf>
    <xf numFmtId="0" fontId="3" fillId="0" borderId="11" xfId="0" applyFont="1" applyBorder="1" applyAlignment="1">
      <alignment horizontal="left"/>
    </xf>
    <xf numFmtId="165" fontId="2" fillId="0" borderId="11" xfId="0" applyNumberFormat="1" applyFont="1" applyBorder="1" applyAlignment="1">
      <alignment horizontal="center"/>
    </xf>
    <xf numFmtId="165" fontId="3" fillId="0" borderId="11" xfId="0" applyNumberFormat="1" applyFont="1" applyBorder="1" applyAlignment="1">
      <alignment horizontal="center"/>
    </xf>
    <xf numFmtId="165" fontId="3" fillId="0" borderId="11" xfId="0" applyNumberFormat="1" applyFont="1" applyBorder="1" applyAlignment="1">
      <alignment horizontal="left"/>
    </xf>
    <xf numFmtId="165" fontId="2" fillId="0" borderId="11" xfId="0" applyNumberFormat="1" applyFont="1" applyBorder="1" applyAlignment="1">
      <alignment horizontal="center" vertical="center"/>
    </xf>
    <xf numFmtId="166" fontId="2" fillId="0" borderId="11" xfId="0" applyNumberFormat="1" applyFont="1" applyBorder="1" applyAlignment="1">
      <alignment horizontal="center" vertical="center"/>
    </xf>
    <xf numFmtId="165" fontId="11" fillId="0" borderId="11" xfId="0" applyNumberFormat="1" applyFont="1" applyBorder="1" applyAlignment="1">
      <alignment horizontal="center" vertical="center"/>
    </xf>
    <xf numFmtId="0" fontId="3" fillId="0" borderId="0" xfId="0" quotePrefix="1" applyFont="1"/>
    <xf numFmtId="165" fontId="3" fillId="0" borderId="0" xfId="0" applyNumberFormat="1" applyFont="1" applyAlignment="1">
      <alignment wrapText="1"/>
    </xf>
    <xf numFmtId="164" fontId="7" fillId="0" borderId="5" xfId="0" applyNumberFormat="1" applyFont="1" applyBorder="1"/>
    <xf numFmtId="164" fontId="7" fillId="2" borderId="5" xfId="0" applyNumberFormat="1" applyFont="1" applyFill="1" applyBorder="1"/>
    <xf numFmtId="49" fontId="3" fillId="0" borderId="0" xfId="0" applyNumberFormat="1" applyFont="1"/>
    <xf numFmtId="164" fontId="6" fillId="2" borderId="2" xfId="0" applyNumberFormat="1" applyFont="1" applyFill="1" applyBorder="1"/>
    <xf numFmtId="164" fontId="4" fillId="0" borderId="2" xfId="0" applyNumberFormat="1" applyFont="1" applyBorder="1"/>
    <xf numFmtId="0" fontId="3" fillId="3" borderId="0" xfId="0" applyFont="1" applyFill="1" applyAlignment="1">
      <alignment wrapText="1"/>
    </xf>
    <xf numFmtId="0" fontId="2" fillId="3" borderId="2" xfId="0" applyFont="1" applyFill="1" applyBorder="1" applyAlignment="1">
      <alignment horizontal="right" wrapText="1"/>
    </xf>
    <xf numFmtId="0" fontId="3" fillId="3" borderId="0" xfId="0" applyFont="1" applyFill="1" applyAlignment="1">
      <alignment horizontal="left"/>
    </xf>
    <xf numFmtId="164" fontId="6" fillId="3" borderId="0" xfId="0" applyNumberFormat="1" applyFont="1" applyFill="1"/>
    <xf numFmtId="164" fontId="3" fillId="3" borderId="0" xfId="0" applyNumberFormat="1" applyFont="1" applyFill="1" applyAlignment="1">
      <alignment horizontal="left"/>
    </xf>
    <xf numFmtId="165" fontId="6" fillId="3" borderId="0" xfId="0" applyNumberFormat="1" applyFont="1" applyFill="1"/>
    <xf numFmtId="165" fontId="4" fillId="3" borderId="0" xfId="0" applyNumberFormat="1" applyFont="1" applyFill="1"/>
    <xf numFmtId="165" fontId="3" fillId="3" borderId="0" xfId="0" applyNumberFormat="1" applyFont="1" applyFill="1" applyAlignment="1">
      <alignment horizontal="left"/>
    </xf>
    <xf numFmtId="165" fontId="3" fillId="3" borderId="5" xfId="0" applyNumberFormat="1" applyFont="1" applyFill="1" applyBorder="1"/>
    <xf numFmtId="165" fontId="4" fillId="3" borderId="1" xfId="0" applyNumberFormat="1" applyFont="1" applyFill="1" applyBorder="1"/>
    <xf numFmtId="165" fontId="3" fillId="3" borderId="2" xfId="0" applyNumberFormat="1" applyFont="1" applyFill="1" applyBorder="1"/>
    <xf numFmtId="165" fontId="4" fillId="3" borderId="2" xfId="0" applyNumberFormat="1" applyFont="1" applyFill="1" applyBorder="1"/>
    <xf numFmtId="164" fontId="3" fillId="3" borderId="4" xfId="0" applyNumberFormat="1" applyFont="1" applyFill="1" applyBorder="1"/>
    <xf numFmtId="164" fontId="4" fillId="3" borderId="6" xfId="0" applyNumberFormat="1" applyFont="1" applyFill="1" applyBorder="1"/>
    <xf numFmtId="167" fontId="3" fillId="3" borderId="4" xfId="0" applyNumberFormat="1" applyFont="1" applyFill="1" applyBorder="1"/>
    <xf numFmtId="0" fontId="2" fillId="3" borderId="1" xfId="0" applyFont="1" applyFill="1" applyBorder="1" applyAlignment="1">
      <alignment horizontal="right" wrapText="1"/>
    </xf>
    <xf numFmtId="164" fontId="7" fillId="3" borderId="2" xfId="0" applyNumberFormat="1" applyFont="1" applyFill="1" applyBorder="1"/>
    <xf numFmtId="165" fontId="4" fillId="3" borderId="3" xfId="0" applyNumberFormat="1" applyFont="1" applyFill="1" applyBorder="1"/>
    <xf numFmtId="165" fontId="6" fillId="3" borderId="3" xfId="0" applyNumberFormat="1" applyFont="1" applyFill="1" applyBorder="1"/>
    <xf numFmtId="165" fontId="6" fillId="3" borderId="1" xfId="0" applyNumberFormat="1" applyFont="1" applyFill="1" applyBorder="1"/>
    <xf numFmtId="164" fontId="6" fillId="3" borderId="2" xfId="0" applyNumberFormat="1" applyFont="1" applyFill="1" applyBorder="1"/>
    <xf numFmtId="164" fontId="4" fillId="3" borderId="2" xfId="0" applyNumberFormat="1" applyFont="1" applyFill="1" applyBorder="1"/>
    <xf numFmtId="165" fontId="11" fillId="0" borderId="12" xfId="0" applyNumberFormat="1" applyFont="1" applyBorder="1" applyAlignment="1">
      <alignment horizontal="center" vertical="center"/>
    </xf>
    <xf numFmtId="0" fontId="2" fillId="0" borderId="1" xfId="0" applyFont="1" applyBorder="1" applyAlignment="1">
      <alignment horizontal="right" vertical="center" wrapText="1"/>
    </xf>
    <xf numFmtId="0" fontId="3" fillId="0" borderId="3" xfId="0" applyFont="1" applyBorder="1"/>
    <xf numFmtId="0" fontId="3" fillId="0" borderId="0" xfId="0" applyFont="1" applyAlignment="1">
      <alignment horizontal="left" wrapText="1"/>
    </xf>
    <xf numFmtId="0" fontId="3" fillId="0" borderId="2" xfId="0" applyFont="1" applyBorder="1" applyAlignment="1">
      <alignment wrapText="1"/>
    </xf>
    <xf numFmtId="0" fontId="3" fillId="0" borderId="4" xfId="0" applyFont="1" applyBorder="1" applyAlignment="1">
      <alignment wrapText="1"/>
    </xf>
    <xf numFmtId="0" fontId="3" fillId="0" borderId="2" xfId="0" applyFont="1" applyBorder="1" applyAlignment="1">
      <alignment horizontal="left" wrapText="1"/>
    </xf>
    <xf numFmtId="0" fontId="3" fillId="0" borderId="1" xfId="0" applyFont="1" applyBorder="1" applyAlignment="1">
      <alignment wrapText="1"/>
    </xf>
    <xf numFmtId="0" fontId="3" fillId="0" borderId="3" xfId="0" applyFont="1" applyBorder="1" applyAlignment="1">
      <alignment wrapText="1"/>
    </xf>
    <xf numFmtId="0" fontId="3" fillId="0" borderId="5" xfId="0" applyFont="1" applyBorder="1" applyAlignment="1">
      <alignment wrapText="1"/>
    </xf>
    <xf numFmtId="0" fontId="3" fillId="0" borderId="0" xfId="0" applyFont="1" applyAlignment="1">
      <alignment horizontal="left" wrapText="1" indent="1"/>
    </xf>
    <xf numFmtId="165" fontId="4" fillId="4" borderId="0" xfId="0" applyNumberFormat="1" applyFont="1" applyFill="1"/>
    <xf numFmtId="0" fontId="3" fillId="4" borderId="0" xfId="0" applyFont="1" applyFill="1" applyAlignment="1">
      <alignment wrapText="1"/>
    </xf>
    <xf numFmtId="165" fontId="3" fillId="4" borderId="0" xfId="0" applyNumberFormat="1" applyFont="1" applyFill="1"/>
    <xf numFmtId="164" fontId="2" fillId="4" borderId="5" xfId="0" applyNumberFormat="1" applyFont="1" applyFill="1" applyBorder="1"/>
    <xf numFmtId="164" fontId="7" fillId="3" borderId="0" xfId="0" applyNumberFormat="1" applyFont="1" applyFill="1"/>
    <xf numFmtId="165" fontId="7" fillId="3" borderId="2" xfId="0" applyNumberFormat="1" applyFont="1" applyFill="1" applyBorder="1"/>
    <xf numFmtId="165" fontId="2" fillId="3" borderId="2" xfId="0" applyNumberFormat="1" applyFont="1" applyFill="1" applyBorder="1"/>
    <xf numFmtId="165" fontId="7" fillId="3" borderId="3" xfId="0" applyNumberFormat="1" applyFont="1" applyFill="1" applyBorder="1"/>
    <xf numFmtId="165" fontId="3" fillId="3" borderId="0" xfId="0" applyNumberFormat="1" applyFont="1" applyFill="1"/>
    <xf numFmtId="165" fontId="2" fillId="3" borderId="5" xfId="0" applyNumberFormat="1" applyFont="1" applyFill="1" applyBorder="1"/>
    <xf numFmtId="164" fontId="7" fillId="3" borderId="5" xfId="0" applyNumberFormat="1" applyFont="1" applyFill="1" applyBorder="1"/>
    <xf numFmtId="164" fontId="6" fillId="4" borderId="0" xfId="0" applyNumberFormat="1" applyFont="1" applyFill="1"/>
    <xf numFmtId="165" fontId="6" fillId="4" borderId="0" xfId="0" applyNumberFormat="1" applyFont="1" applyFill="1"/>
    <xf numFmtId="0" fontId="3" fillId="0" borderId="0" xfId="0" applyFont="1" applyAlignment="1">
      <alignment horizontal="left" vertical="center" wrapText="1"/>
    </xf>
    <xf numFmtId="0" fontId="3" fillId="0" borderId="0" xfId="0" applyFont="1" applyAlignment="1">
      <alignment vertical="center" wrapText="1"/>
    </xf>
    <xf numFmtId="3" fontId="3" fillId="0" borderId="0" xfId="0" applyNumberFormat="1" applyFont="1" applyAlignment="1">
      <alignment wrapText="1"/>
    </xf>
    <xf numFmtId="165" fontId="4" fillId="0" borderId="0" xfId="0" applyNumberFormat="1" applyFont="1" applyAlignment="1">
      <alignment horizontal="right"/>
    </xf>
    <xf numFmtId="0" fontId="2" fillId="0" borderId="0" xfId="0" applyFont="1" applyAlignment="1">
      <alignment vertical="center" wrapText="1"/>
    </xf>
    <xf numFmtId="165" fontId="4" fillId="0" borderId="11" xfId="0" applyNumberFormat="1" applyFont="1" applyBorder="1" applyAlignment="1">
      <alignment horizontal="center"/>
    </xf>
    <xf numFmtId="0" fontId="3" fillId="5" borderId="0" xfId="0" applyFont="1" applyFill="1" applyAlignment="1">
      <alignment vertical="center" wrapText="1"/>
    </xf>
    <xf numFmtId="165" fontId="4" fillId="5" borderId="0" xfId="0" applyNumberFormat="1" applyFont="1" applyFill="1"/>
    <xf numFmtId="9" fontId="3" fillId="3" borderId="0" xfId="1" applyFont="1" applyFill="1" applyAlignment="1">
      <alignment horizontal="left"/>
    </xf>
    <xf numFmtId="9" fontId="6" fillId="4" borderId="0" xfId="1" applyFont="1" applyFill="1"/>
    <xf numFmtId="0" fontId="3" fillId="5" borderId="0" xfId="0" applyFont="1" applyFill="1" applyAlignment="1">
      <alignment wrapText="1"/>
    </xf>
    <xf numFmtId="0" fontId="2" fillId="5" borderId="0" xfId="0" applyFont="1" applyFill="1" applyAlignment="1">
      <alignment horizontal="right" wrapText="1"/>
    </xf>
    <xf numFmtId="165" fontId="2" fillId="0" borderId="0" xfId="0" applyNumberFormat="1" applyFont="1"/>
    <xf numFmtId="165" fontId="2" fillId="2" borderId="0" xfId="0" applyNumberFormat="1" applyFont="1" applyFill="1"/>
    <xf numFmtId="165" fontId="2" fillId="3" borderId="0" xfId="0" applyNumberFormat="1" applyFont="1" applyFill="1"/>
    <xf numFmtId="0" fontId="5" fillId="5" borderId="0" xfId="0" applyFont="1" applyFill="1" applyAlignment="1">
      <alignment horizontal="right" wrapText="1"/>
    </xf>
    <xf numFmtId="0" fontId="2" fillId="0" borderId="2" xfId="0" applyFont="1" applyBorder="1" applyAlignment="1">
      <alignment horizontal="right" vertical="center" wrapText="1"/>
    </xf>
    <xf numFmtId="0" fontId="2" fillId="2" borderId="2" xfId="0" applyFont="1" applyFill="1" applyBorder="1" applyAlignment="1">
      <alignment horizontal="right" vertical="center" wrapText="1"/>
    </xf>
    <xf numFmtId="0" fontId="2" fillId="3" borderId="2" xfId="0" applyFont="1" applyFill="1" applyBorder="1" applyAlignment="1">
      <alignment horizontal="right" vertical="center" wrapText="1"/>
    </xf>
    <xf numFmtId="164" fontId="7" fillId="0" borderId="2" xfId="0" applyNumberFormat="1" applyFont="1" applyBorder="1" applyAlignment="1">
      <alignment vertical="center"/>
    </xf>
    <xf numFmtId="164" fontId="7" fillId="2" borderId="2" xfId="0" applyNumberFormat="1" applyFont="1" applyFill="1" applyBorder="1" applyAlignment="1">
      <alignment vertical="center"/>
    </xf>
    <xf numFmtId="164" fontId="7" fillId="3" borderId="2" xfId="0" applyNumberFormat="1" applyFont="1" applyFill="1" applyBorder="1" applyAlignment="1">
      <alignment vertical="center"/>
    </xf>
    <xf numFmtId="165" fontId="6" fillId="0" borderId="0" xfId="0" applyNumberFormat="1" applyFont="1" applyAlignment="1">
      <alignment vertical="center"/>
    </xf>
    <xf numFmtId="165" fontId="6" fillId="2" borderId="0" xfId="0" applyNumberFormat="1" applyFont="1" applyFill="1" applyAlignment="1">
      <alignment vertical="center"/>
    </xf>
    <xf numFmtId="165" fontId="6" fillId="3" borderId="0" xfId="0" applyNumberFormat="1" applyFont="1" applyFill="1" applyAlignment="1">
      <alignment vertical="center"/>
    </xf>
    <xf numFmtId="165" fontId="4" fillId="0" borderId="0" xfId="0" applyNumberFormat="1" applyFont="1" applyAlignment="1">
      <alignment vertical="center"/>
    </xf>
    <xf numFmtId="165" fontId="4" fillId="2" borderId="0" xfId="0" applyNumberFormat="1" applyFont="1" applyFill="1" applyAlignment="1">
      <alignment vertical="center"/>
    </xf>
    <xf numFmtId="165" fontId="4" fillId="3" borderId="0" xfId="0" applyNumberFormat="1" applyFont="1" applyFill="1" applyAlignment="1">
      <alignment vertical="center"/>
    </xf>
    <xf numFmtId="165" fontId="6" fillId="0" borderId="1" xfId="0" applyNumberFormat="1" applyFont="1" applyBorder="1" applyAlignment="1">
      <alignment vertical="center"/>
    </xf>
    <xf numFmtId="165" fontId="6" fillId="2" borderId="1" xfId="0" applyNumberFormat="1" applyFont="1" applyFill="1" applyBorder="1" applyAlignment="1">
      <alignment vertical="center"/>
    </xf>
    <xf numFmtId="165" fontId="6" fillId="3" borderId="1" xfId="0" applyNumberFormat="1" applyFont="1" applyFill="1" applyBorder="1" applyAlignment="1">
      <alignment vertical="center"/>
    </xf>
    <xf numFmtId="164" fontId="2" fillId="0" borderId="2" xfId="0" applyNumberFormat="1" applyFont="1" applyBorder="1" applyAlignment="1">
      <alignment vertical="center"/>
    </xf>
    <xf numFmtId="164" fontId="2" fillId="2" borderId="2" xfId="0" applyNumberFormat="1" applyFont="1" applyFill="1" applyBorder="1" applyAlignment="1">
      <alignment vertical="center"/>
    </xf>
    <xf numFmtId="164" fontId="2" fillId="3" borderId="2" xfId="0" applyNumberFormat="1" applyFont="1" applyFill="1" applyBorder="1" applyAlignment="1">
      <alignment vertical="center"/>
    </xf>
    <xf numFmtId="0" fontId="3" fillId="2" borderId="0" xfId="0" applyFont="1" applyFill="1" applyAlignment="1">
      <alignment vertical="center" wrapText="1"/>
    </xf>
    <xf numFmtId="0" fontId="3" fillId="3" borderId="0" xfId="0" applyFont="1" applyFill="1" applyAlignment="1">
      <alignment vertical="center" wrapText="1"/>
    </xf>
    <xf numFmtId="0" fontId="3" fillId="0" borderId="0" xfId="0" applyFont="1" applyAlignment="1">
      <alignment horizontal="left" vertical="center"/>
    </xf>
    <xf numFmtId="9" fontId="3" fillId="0" borderId="0" xfId="1" applyFont="1" applyAlignment="1">
      <alignment vertical="center" wrapText="1"/>
    </xf>
    <xf numFmtId="0" fontId="2" fillId="0" borderId="0" xfId="0" applyFont="1" applyAlignment="1">
      <alignment vertical="center"/>
    </xf>
    <xf numFmtId="0" fontId="2" fillId="2" borderId="1" xfId="0" applyFont="1" applyFill="1" applyBorder="1" applyAlignment="1">
      <alignment horizontal="right" vertical="center" wrapText="1"/>
    </xf>
    <xf numFmtId="0" fontId="2" fillId="3" borderId="1" xfId="0" applyFont="1" applyFill="1" applyBorder="1" applyAlignment="1">
      <alignment horizontal="right" vertical="center" wrapText="1"/>
    </xf>
    <xf numFmtId="164" fontId="7" fillId="0" borderId="3" xfId="0" applyNumberFormat="1" applyFont="1" applyBorder="1" applyAlignment="1">
      <alignment vertical="center"/>
    </xf>
    <xf numFmtId="164" fontId="7" fillId="2" borderId="3" xfId="0" applyNumberFormat="1" applyFont="1" applyFill="1" applyBorder="1" applyAlignment="1">
      <alignment vertical="center"/>
    </xf>
    <xf numFmtId="164" fontId="7" fillId="3" borderId="3" xfId="0" applyNumberFormat="1" applyFont="1" applyFill="1" applyBorder="1" applyAlignment="1">
      <alignment vertical="center"/>
    </xf>
    <xf numFmtId="0" fontId="4" fillId="0" borderId="0" xfId="0" applyFont="1" applyAlignment="1">
      <alignment vertical="center" wrapText="1"/>
    </xf>
    <xf numFmtId="0" fontId="4" fillId="2" borderId="0" xfId="0" applyFont="1" applyFill="1" applyAlignment="1">
      <alignment vertical="center" wrapText="1"/>
    </xf>
    <xf numFmtId="0" fontId="4" fillId="3" borderId="0" xfId="0" applyFont="1" applyFill="1" applyAlignment="1">
      <alignment vertical="center" wrapText="1"/>
    </xf>
    <xf numFmtId="165" fontId="6" fillId="0" borderId="2" xfId="0" applyNumberFormat="1" applyFont="1" applyBorder="1" applyAlignment="1">
      <alignment vertical="center"/>
    </xf>
    <xf numFmtId="165" fontId="6" fillId="2" borderId="2" xfId="0" applyNumberFormat="1" applyFont="1" applyFill="1" applyBorder="1" applyAlignment="1">
      <alignment vertical="center"/>
    </xf>
    <xf numFmtId="165" fontId="6" fillId="3" borderId="2" xfId="0" applyNumberFormat="1" applyFont="1" applyFill="1" applyBorder="1" applyAlignment="1">
      <alignment vertical="center"/>
    </xf>
    <xf numFmtId="3" fontId="3" fillId="0" borderId="0" xfId="0" applyNumberFormat="1" applyFont="1" applyAlignment="1">
      <alignment vertical="center" wrapText="1"/>
    </xf>
    <xf numFmtId="165" fontId="3" fillId="0" borderId="2" xfId="0" applyNumberFormat="1" applyFont="1" applyBorder="1" applyAlignment="1">
      <alignment vertical="center"/>
    </xf>
    <xf numFmtId="165" fontId="3" fillId="2" borderId="2" xfId="0" applyNumberFormat="1" applyFont="1" applyFill="1" applyBorder="1" applyAlignment="1">
      <alignment vertical="center"/>
    </xf>
    <xf numFmtId="165" fontId="3" fillId="3" borderId="2" xfId="0" applyNumberFormat="1" applyFont="1" applyFill="1" applyBorder="1" applyAlignment="1">
      <alignment vertical="center"/>
    </xf>
    <xf numFmtId="0" fontId="5" fillId="0" borderId="0" xfId="0" applyFont="1" applyAlignment="1">
      <alignment horizontal="right" vertical="center" wrapText="1"/>
    </xf>
    <xf numFmtId="164" fontId="4" fillId="0" borderId="3" xfId="0" applyNumberFormat="1" applyFont="1" applyBorder="1" applyAlignment="1">
      <alignment vertical="center"/>
    </xf>
    <xf numFmtId="164" fontId="4" fillId="2" borderId="3" xfId="0" applyNumberFormat="1" applyFont="1" applyFill="1" applyBorder="1" applyAlignment="1">
      <alignment vertical="center"/>
    </xf>
    <xf numFmtId="164" fontId="4" fillId="3" borderId="3" xfId="0" applyNumberFormat="1" applyFont="1" applyFill="1" applyBorder="1" applyAlignment="1">
      <alignment vertical="center"/>
    </xf>
    <xf numFmtId="165" fontId="4" fillId="5" borderId="0" xfId="0" applyNumberFormat="1" applyFont="1" applyFill="1" applyAlignment="1">
      <alignment vertical="center"/>
    </xf>
    <xf numFmtId="165" fontId="4" fillId="0" borderId="1" xfId="0" applyNumberFormat="1" applyFont="1" applyBorder="1" applyAlignment="1">
      <alignment vertical="center"/>
    </xf>
    <xf numFmtId="165" fontId="4" fillId="2" borderId="1" xfId="0" applyNumberFormat="1" applyFont="1" applyFill="1" applyBorder="1" applyAlignment="1">
      <alignment vertical="center"/>
    </xf>
    <xf numFmtId="165" fontId="4" fillId="3" borderId="1" xfId="0" applyNumberFormat="1" applyFont="1" applyFill="1" applyBorder="1" applyAlignment="1">
      <alignment vertical="center"/>
    </xf>
    <xf numFmtId="165" fontId="4" fillId="0" borderId="3" xfId="0" applyNumberFormat="1" applyFont="1" applyBorder="1" applyAlignment="1">
      <alignment vertical="center"/>
    </xf>
    <xf numFmtId="165" fontId="4" fillId="2" borderId="3" xfId="0" applyNumberFormat="1" applyFont="1" applyFill="1" applyBorder="1" applyAlignment="1">
      <alignment vertical="center"/>
    </xf>
    <xf numFmtId="165" fontId="4" fillId="3" borderId="3" xfId="0" applyNumberFormat="1" applyFont="1" applyFill="1" applyBorder="1" applyAlignment="1">
      <alignment vertical="center"/>
    </xf>
    <xf numFmtId="165" fontId="3" fillId="0" borderId="1" xfId="0" applyNumberFormat="1" applyFont="1" applyBorder="1" applyAlignment="1">
      <alignment vertical="center"/>
    </xf>
    <xf numFmtId="165" fontId="3" fillId="2" borderId="1" xfId="0" applyNumberFormat="1" applyFont="1" applyFill="1" applyBorder="1" applyAlignment="1">
      <alignment vertical="center"/>
    </xf>
    <xf numFmtId="165" fontId="3" fillId="3" borderId="1" xfId="0" applyNumberFormat="1" applyFont="1" applyFill="1" applyBorder="1" applyAlignment="1">
      <alignment vertical="center"/>
    </xf>
    <xf numFmtId="165" fontId="3" fillId="0" borderId="0" xfId="0" applyNumberFormat="1" applyFont="1" applyAlignment="1">
      <alignment vertical="center"/>
    </xf>
    <xf numFmtId="165" fontId="3" fillId="3" borderId="0" xfId="0" applyNumberFormat="1" applyFont="1" applyFill="1" applyAlignment="1">
      <alignment vertical="center"/>
    </xf>
    <xf numFmtId="165" fontId="3" fillId="0" borderId="3" xfId="0" applyNumberFormat="1" applyFont="1" applyBorder="1" applyAlignment="1">
      <alignment vertical="center"/>
    </xf>
    <xf numFmtId="165" fontId="6" fillId="3" borderId="3" xfId="0" applyNumberFormat="1" applyFont="1" applyFill="1" applyBorder="1" applyAlignment="1">
      <alignment vertical="center"/>
    </xf>
    <xf numFmtId="169" fontId="3" fillId="0" borderId="0" xfId="1" applyNumberFormat="1" applyFont="1" applyFill="1" applyAlignment="1">
      <alignment vertical="center" wrapText="1"/>
    </xf>
    <xf numFmtId="164" fontId="2" fillId="0" borderId="0" xfId="0" applyNumberFormat="1" applyFont="1" applyAlignment="1">
      <alignment vertical="center"/>
    </xf>
    <xf numFmtId="164" fontId="2" fillId="2" borderId="0" xfId="0" applyNumberFormat="1" applyFont="1" applyFill="1" applyAlignment="1">
      <alignment vertical="center"/>
    </xf>
    <xf numFmtId="164" fontId="2" fillId="3" borderId="0" xfId="0" applyNumberFormat="1" applyFont="1" applyFill="1" applyAlignment="1">
      <alignment vertical="center"/>
    </xf>
    <xf numFmtId="165" fontId="3" fillId="2" borderId="0" xfId="0" applyNumberFormat="1" applyFont="1" applyFill="1" applyAlignment="1">
      <alignment vertical="center"/>
    </xf>
    <xf numFmtId="165" fontId="3" fillId="2" borderId="3" xfId="0" applyNumberFormat="1" applyFont="1" applyFill="1" applyBorder="1" applyAlignment="1">
      <alignment vertical="center"/>
    </xf>
    <xf numFmtId="164" fontId="2" fillId="0" borderId="5" xfId="0" applyNumberFormat="1" applyFont="1" applyBorder="1" applyAlignment="1">
      <alignment vertical="center"/>
    </xf>
    <xf numFmtId="164" fontId="2" fillId="2" borderId="5" xfId="0" applyNumberFormat="1" applyFont="1" applyFill="1" applyBorder="1" applyAlignment="1">
      <alignment vertical="center"/>
    </xf>
    <xf numFmtId="164" fontId="2" fillId="3" borderId="5" xfId="0" applyNumberFormat="1" applyFont="1" applyFill="1" applyBorder="1" applyAlignment="1">
      <alignment vertical="center"/>
    </xf>
    <xf numFmtId="0" fontId="3" fillId="0" borderId="0" xfId="0" applyFont="1" applyAlignment="1">
      <alignment horizontal="right" vertical="center" wrapText="1"/>
    </xf>
    <xf numFmtId="167" fontId="3" fillId="0" borderId="4" xfId="0" applyNumberFormat="1" applyFont="1" applyBorder="1" applyAlignment="1">
      <alignment vertical="center"/>
    </xf>
    <xf numFmtId="167" fontId="3" fillId="2" borderId="4" xfId="0" applyNumberFormat="1" applyFont="1" applyFill="1" applyBorder="1" applyAlignment="1">
      <alignment vertical="center"/>
    </xf>
    <xf numFmtId="167" fontId="3" fillId="3" borderId="4" xfId="0" applyNumberFormat="1" applyFont="1" applyFill="1" applyBorder="1" applyAlignment="1">
      <alignment vertical="center"/>
    </xf>
    <xf numFmtId="167" fontId="3" fillId="2" borderId="6" xfId="0" applyNumberFormat="1" applyFont="1" applyFill="1" applyBorder="1" applyAlignment="1">
      <alignment vertical="center"/>
    </xf>
    <xf numFmtId="167" fontId="3" fillId="0" borderId="6" xfId="0" applyNumberFormat="1" applyFont="1" applyBorder="1" applyAlignment="1">
      <alignment vertical="center"/>
    </xf>
    <xf numFmtId="167" fontId="3" fillId="3" borderId="6" xfId="0" applyNumberFormat="1" applyFont="1" applyFill="1" applyBorder="1" applyAlignment="1">
      <alignment vertical="center"/>
    </xf>
    <xf numFmtId="0" fontId="2" fillId="0" borderId="3" xfId="0" applyFont="1" applyBorder="1" applyAlignment="1">
      <alignment horizontal="right" vertical="center" wrapText="1"/>
    </xf>
    <xf numFmtId="168" fontId="2" fillId="0" borderId="1" xfId="0" applyNumberFormat="1" applyFont="1" applyBorder="1" applyAlignment="1">
      <alignment horizontal="right" vertical="center"/>
    </xf>
    <xf numFmtId="168" fontId="2" fillId="0" borderId="1" xfId="0" applyNumberFormat="1" applyFont="1" applyBorder="1" applyAlignment="1">
      <alignment horizontal="right" vertical="center" wrapText="1"/>
    </xf>
    <xf numFmtId="165" fontId="6" fillId="0" borderId="3" xfId="0" applyNumberFormat="1" applyFont="1" applyBorder="1" applyAlignment="1">
      <alignment vertical="center"/>
    </xf>
    <xf numFmtId="165" fontId="6" fillId="5" borderId="3" xfId="0" applyNumberFormat="1" applyFont="1" applyFill="1" applyBorder="1" applyAlignment="1">
      <alignment vertical="center"/>
    </xf>
    <xf numFmtId="0" fontId="2" fillId="0" borderId="2" xfId="0" applyFont="1" applyBorder="1" applyAlignment="1">
      <alignment vertical="center" wrapText="1"/>
    </xf>
    <xf numFmtId="165" fontId="2" fillId="0" borderId="2" xfId="0" applyNumberFormat="1" applyFont="1" applyBorder="1" applyAlignment="1">
      <alignment vertical="center"/>
    </xf>
    <xf numFmtId="165" fontId="2" fillId="5" borderId="2" xfId="0" applyNumberFormat="1" applyFont="1" applyFill="1" applyBorder="1" applyAlignment="1">
      <alignment vertical="center"/>
    </xf>
    <xf numFmtId="165" fontId="11" fillId="0" borderId="2" xfId="0" applyNumberFormat="1" applyFont="1" applyBorder="1" applyAlignment="1">
      <alignment vertical="center"/>
    </xf>
    <xf numFmtId="165" fontId="11" fillId="5" borderId="2" xfId="0" applyNumberFormat="1" applyFont="1" applyFill="1" applyBorder="1" applyAlignment="1">
      <alignment vertical="center"/>
    </xf>
    <xf numFmtId="165" fontId="4" fillId="0" borderId="2" xfId="0" applyNumberFormat="1" applyFont="1" applyBorder="1" applyAlignment="1">
      <alignment vertical="center"/>
    </xf>
    <xf numFmtId="165" fontId="4" fillId="5" borderId="2" xfId="0" applyNumberFormat="1" applyFont="1" applyFill="1" applyBorder="1" applyAlignment="1">
      <alignment vertical="center"/>
    </xf>
    <xf numFmtId="165" fontId="7" fillId="0" borderId="2" xfId="0" applyNumberFormat="1" applyFont="1" applyBorder="1" applyAlignment="1">
      <alignment vertical="center"/>
    </xf>
    <xf numFmtId="165" fontId="7" fillId="5" borderId="2" xfId="0" applyNumberFormat="1" applyFont="1" applyFill="1" applyBorder="1" applyAlignment="1">
      <alignment vertical="center"/>
    </xf>
    <xf numFmtId="165" fontId="3" fillId="0" borderId="0" xfId="0" applyNumberFormat="1" applyFont="1" applyAlignment="1">
      <alignment vertical="center" wrapText="1"/>
    </xf>
    <xf numFmtId="0" fontId="3" fillId="23" borderId="0" xfId="0" applyFont="1" applyFill="1" applyAlignment="1">
      <alignment vertical="center"/>
    </xf>
    <xf numFmtId="0" fontId="3" fillId="5" borderId="0" xfId="0" quotePrefix="1" applyFont="1" applyFill="1"/>
    <xf numFmtId="0" fontId="2" fillId="5" borderId="2" xfId="0" applyFont="1" applyFill="1" applyBorder="1" applyAlignment="1">
      <alignment horizontal="right" vertical="center" wrapText="1"/>
    </xf>
    <xf numFmtId="164" fontId="7" fillId="5" borderId="2" xfId="0" applyNumberFormat="1" applyFont="1" applyFill="1" applyBorder="1" applyAlignment="1">
      <alignment vertical="center"/>
    </xf>
    <xf numFmtId="165" fontId="6" fillId="5" borderId="0" xfId="0" applyNumberFormat="1" applyFont="1" applyFill="1" applyAlignment="1">
      <alignment vertical="center"/>
    </xf>
    <xf numFmtId="165" fontId="11" fillId="5" borderId="11" xfId="0" applyNumberFormat="1" applyFont="1" applyFill="1" applyBorder="1" applyAlignment="1">
      <alignment horizontal="center"/>
    </xf>
    <xf numFmtId="3" fontId="13" fillId="5" borderId="0" xfId="0" applyNumberFormat="1" applyFont="1" applyFill="1" applyAlignment="1">
      <alignment wrapText="1"/>
    </xf>
    <xf numFmtId="0" fontId="2" fillId="5" borderId="3" xfId="0" applyFont="1" applyFill="1" applyBorder="1" applyAlignment="1">
      <alignment horizontal="right" vertical="center" wrapText="1"/>
    </xf>
    <xf numFmtId="168" fontId="2" fillId="5" borderId="1" xfId="0" applyNumberFormat="1" applyFont="1" applyFill="1" applyBorder="1" applyAlignment="1">
      <alignment horizontal="right" vertical="center"/>
    </xf>
    <xf numFmtId="168" fontId="2" fillId="5" borderId="1" xfId="0" applyNumberFormat="1" applyFont="1" applyFill="1" applyBorder="1" applyAlignment="1">
      <alignment horizontal="right" vertical="center" wrapText="1"/>
    </xf>
    <xf numFmtId="3" fontId="3" fillId="5" borderId="0" xfId="0" applyNumberFormat="1" applyFont="1" applyFill="1" applyAlignment="1">
      <alignment wrapText="1"/>
    </xf>
    <xf numFmtId="0" fontId="2" fillId="5" borderId="2" xfId="0" applyFont="1" applyFill="1" applyBorder="1" applyAlignment="1">
      <alignment horizontal="right" wrapText="1"/>
    </xf>
    <xf numFmtId="0" fontId="3" fillId="5" borderId="0" xfId="0" applyFont="1" applyFill="1" applyAlignment="1">
      <alignment horizontal="left"/>
    </xf>
    <xf numFmtId="164" fontId="6" fillId="5" borderId="0" xfId="0" applyNumberFormat="1" applyFont="1" applyFill="1"/>
    <xf numFmtId="164" fontId="3" fillId="5" borderId="0" xfId="0" applyNumberFormat="1" applyFont="1" applyFill="1" applyAlignment="1">
      <alignment horizontal="left"/>
    </xf>
    <xf numFmtId="165" fontId="6" fillId="5" borderId="0" xfId="0" applyNumberFormat="1" applyFont="1" applyFill="1"/>
    <xf numFmtId="165" fontId="3" fillId="5" borderId="0" xfId="0" applyNumberFormat="1" applyFont="1" applyFill="1" applyAlignment="1">
      <alignment horizontal="left"/>
    </xf>
    <xf numFmtId="165" fontId="3" fillId="5" borderId="5" xfId="0" applyNumberFormat="1" applyFont="1" applyFill="1" applyBorder="1"/>
    <xf numFmtId="165" fontId="4" fillId="5" borderId="1" xfId="0" applyNumberFormat="1" applyFont="1" applyFill="1" applyBorder="1"/>
    <xf numFmtId="165" fontId="3" fillId="5" borderId="2" xfId="0" applyNumberFormat="1" applyFont="1" applyFill="1" applyBorder="1"/>
    <xf numFmtId="165" fontId="4" fillId="5" borderId="2" xfId="0" applyNumberFormat="1" applyFont="1" applyFill="1" applyBorder="1"/>
    <xf numFmtId="164" fontId="3" fillId="5" borderId="4" xfId="0" applyNumberFormat="1" applyFont="1" applyFill="1" applyBorder="1"/>
    <xf numFmtId="164" fontId="4" fillId="5" borderId="6" xfId="0" applyNumberFormat="1" applyFont="1" applyFill="1" applyBorder="1"/>
    <xf numFmtId="167" fontId="3" fillId="5" borderId="4" xfId="0" applyNumberFormat="1" applyFont="1" applyFill="1" applyBorder="1"/>
    <xf numFmtId="165" fontId="3" fillId="5" borderId="0" xfId="0" applyNumberFormat="1" applyFont="1" applyFill="1" applyAlignment="1">
      <alignment wrapText="1"/>
    </xf>
    <xf numFmtId="0" fontId="2" fillId="5" borderId="1" xfId="0" applyFont="1" applyFill="1" applyBorder="1" applyAlignment="1">
      <alignment horizontal="right" wrapText="1"/>
    </xf>
    <xf numFmtId="164" fontId="7" fillId="5" borderId="2" xfId="0" applyNumberFormat="1" applyFont="1" applyFill="1" applyBorder="1"/>
    <xf numFmtId="165" fontId="4" fillId="5" borderId="3" xfId="0" applyNumberFormat="1" applyFont="1" applyFill="1" applyBorder="1"/>
    <xf numFmtId="165" fontId="6" fillId="5" borderId="3" xfId="0" applyNumberFormat="1" applyFont="1" applyFill="1" applyBorder="1"/>
    <xf numFmtId="165" fontId="4" fillId="5" borderId="0" xfId="0" applyNumberFormat="1" applyFont="1" applyFill="1" applyAlignment="1">
      <alignment horizontal="right"/>
    </xf>
    <xf numFmtId="165" fontId="6" fillId="5" borderId="1" xfId="0" applyNumberFormat="1" applyFont="1" applyFill="1" applyBorder="1"/>
    <xf numFmtId="164" fontId="6" fillId="5" borderId="2" xfId="0" applyNumberFormat="1" applyFont="1" applyFill="1" applyBorder="1"/>
    <xf numFmtId="164" fontId="4" fillId="5" borderId="2" xfId="0" applyNumberFormat="1" applyFont="1" applyFill="1" applyBorder="1"/>
    <xf numFmtId="165" fontId="6" fillId="5" borderId="1" xfId="0" applyNumberFormat="1" applyFont="1" applyFill="1" applyBorder="1" applyAlignment="1">
      <alignment vertical="center"/>
    </xf>
    <xf numFmtId="164" fontId="2" fillId="5" borderId="2" xfId="0" applyNumberFormat="1" applyFont="1" applyFill="1" applyBorder="1" applyAlignment="1">
      <alignment vertical="center"/>
    </xf>
    <xf numFmtId="9" fontId="3" fillId="5" borderId="0" xfId="1" applyFont="1" applyFill="1" applyAlignment="1">
      <alignment vertical="center" wrapText="1"/>
    </xf>
    <xf numFmtId="164" fontId="2" fillId="5" borderId="5" xfId="0" applyNumberFormat="1" applyFont="1" applyFill="1" applyBorder="1"/>
    <xf numFmtId="164" fontId="4" fillId="5" borderId="0" xfId="0" applyNumberFormat="1" applyFont="1" applyFill="1"/>
    <xf numFmtId="0" fontId="3" fillId="5" borderId="0" xfId="0" applyFont="1" applyFill="1" applyAlignment="1">
      <alignment horizontal="left" vertical="center" wrapText="1"/>
    </xf>
    <xf numFmtId="164" fontId="7" fillId="5" borderId="0" xfId="0" applyNumberFormat="1" applyFont="1" applyFill="1"/>
    <xf numFmtId="165" fontId="2" fillId="5" borderId="2" xfId="0" applyNumberFormat="1" applyFont="1" applyFill="1" applyBorder="1"/>
    <xf numFmtId="165" fontId="7" fillId="5" borderId="3" xfId="0" applyNumberFormat="1" applyFont="1" applyFill="1" applyBorder="1"/>
    <xf numFmtId="165" fontId="7" fillId="5" borderId="2" xfId="0" applyNumberFormat="1" applyFont="1" applyFill="1" applyBorder="1"/>
    <xf numFmtId="164" fontId="2" fillId="5" borderId="0" xfId="0" applyNumberFormat="1" applyFont="1" applyFill="1" applyAlignment="1">
      <alignment vertical="center"/>
    </xf>
    <xf numFmtId="165" fontId="3" fillId="5" borderId="0" xfId="0" applyNumberFormat="1" applyFont="1" applyFill="1" applyAlignment="1">
      <alignment vertical="center"/>
    </xf>
    <xf numFmtId="165" fontId="3" fillId="5" borderId="2" xfId="0" applyNumberFormat="1" applyFont="1" applyFill="1" applyBorder="1" applyAlignment="1">
      <alignment vertical="center"/>
    </xf>
    <xf numFmtId="164" fontId="2" fillId="5" borderId="5" xfId="0" applyNumberFormat="1" applyFont="1" applyFill="1" applyBorder="1" applyAlignment="1">
      <alignment vertical="center"/>
    </xf>
    <xf numFmtId="167" fontId="3" fillId="5" borderId="4" xfId="0" applyNumberFormat="1" applyFont="1" applyFill="1" applyBorder="1" applyAlignment="1">
      <alignment vertical="center"/>
    </xf>
    <xf numFmtId="167" fontId="3" fillId="5" borderId="6" xfId="0" applyNumberFormat="1" applyFont="1" applyFill="1" applyBorder="1" applyAlignment="1">
      <alignment vertical="center"/>
    </xf>
    <xf numFmtId="165" fontId="3" fillId="5" borderId="0" xfId="0" applyNumberFormat="1" applyFont="1" applyFill="1" applyAlignment="1">
      <alignment vertical="center" wrapText="1"/>
    </xf>
    <xf numFmtId="9" fontId="3" fillId="0" borderId="0" xfId="1" applyFont="1" applyAlignment="1">
      <alignment wrapText="1"/>
    </xf>
    <xf numFmtId="0" fontId="2" fillId="0" borderId="7" xfId="0" applyFont="1" applyBorder="1" applyAlignment="1">
      <alignment horizontal="center" vertical="center" wrapText="1"/>
    </xf>
    <xf numFmtId="165" fontId="2" fillId="24" borderId="11" xfId="0" applyNumberFormat="1" applyFont="1" applyFill="1" applyBorder="1" applyAlignment="1">
      <alignment horizontal="center"/>
    </xf>
    <xf numFmtId="165" fontId="3" fillId="24" borderId="11" xfId="0" applyNumberFormat="1" applyFont="1" applyFill="1" applyBorder="1" applyAlignment="1">
      <alignment horizontal="center"/>
    </xf>
    <xf numFmtId="165" fontId="2" fillId="5" borderId="11" xfId="0" applyNumberFormat="1" applyFont="1" applyFill="1" applyBorder="1" applyAlignment="1">
      <alignment horizontal="center"/>
    </xf>
    <xf numFmtId="165" fontId="3" fillId="5" borderId="11" xfId="0" applyNumberFormat="1" applyFont="1" applyFill="1" applyBorder="1" applyAlignment="1">
      <alignment horizontal="center"/>
    </xf>
    <xf numFmtId="165" fontId="3" fillId="5" borderId="11" xfId="0" applyNumberFormat="1" applyFont="1" applyFill="1" applyBorder="1" applyAlignment="1">
      <alignment horizontal="left"/>
    </xf>
    <xf numFmtId="165" fontId="4" fillId="5" borderId="1" xfId="0" applyNumberFormat="1" applyFont="1" applyFill="1" applyBorder="1" applyAlignment="1">
      <alignment vertical="center"/>
    </xf>
    <xf numFmtId="0" fontId="5" fillId="5" borderId="0" xfId="0" applyFont="1" applyFill="1" applyAlignment="1">
      <alignment horizontal="right" vertical="center" wrapText="1"/>
    </xf>
    <xf numFmtId="165" fontId="4" fillId="4" borderId="3" xfId="0" applyNumberFormat="1" applyFont="1" applyFill="1" applyBorder="1" applyAlignment="1">
      <alignment vertical="center"/>
    </xf>
    <xf numFmtId="165" fontId="4" fillId="4" borderId="0" xfId="0" applyNumberFormat="1" applyFont="1" applyFill="1" applyAlignment="1">
      <alignment vertical="center"/>
    </xf>
    <xf numFmtId="165" fontId="4" fillId="5" borderId="3" xfId="0" applyNumberFormat="1" applyFont="1" applyFill="1" applyBorder="1" applyAlignment="1">
      <alignment vertical="center"/>
    </xf>
    <xf numFmtId="173" fontId="6" fillId="0" borderId="0" xfId="66" applyNumberFormat="1" applyFont="1"/>
    <xf numFmtId="173" fontId="6" fillId="5" borderId="0" xfId="66" applyNumberFormat="1" applyFont="1" applyFill="1"/>
    <xf numFmtId="173" fontId="3" fillId="0" borderId="0" xfId="66" applyNumberFormat="1" applyFont="1" applyAlignment="1">
      <alignment vertical="center" wrapText="1"/>
    </xf>
    <xf numFmtId="164" fontId="33" fillId="0" borderId="0" xfId="0" applyNumberFormat="1" applyFont="1"/>
    <xf numFmtId="6" fontId="3" fillId="5" borderId="0" xfId="0" applyNumberFormat="1" applyFont="1" applyFill="1" applyAlignment="1">
      <alignment wrapText="1"/>
    </xf>
    <xf numFmtId="0" fontId="13" fillId="5" borderId="0" xfId="0" applyFont="1" applyFill="1" applyAlignment="1">
      <alignment wrapText="1"/>
    </xf>
    <xf numFmtId="0" fontId="31" fillId="5" borderId="0" xfId="0" applyFont="1" applyFill="1" applyAlignment="1">
      <alignment vertical="center" wrapText="1"/>
    </xf>
    <xf numFmtId="3" fontId="3" fillId="5" borderId="0" xfId="0" applyNumberFormat="1" applyFont="1" applyFill="1" applyAlignment="1">
      <alignment vertical="center" wrapText="1"/>
    </xf>
    <xf numFmtId="165" fontId="7" fillId="5" borderId="0" xfId="0" applyNumberFormat="1" applyFont="1" applyFill="1"/>
    <xf numFmtId="165" fontId="2" fillId="5" borderId="0" xfId="0" applyNumberFormat="1" applyFont="1" applyFill="1"/>
    <xf numFmtId="165" fontId="13" fillId="5" borderId="0" xfId="0" applyNumberFormat="1" applyFont="1" applyFill="1"/>
    <xf numFmtId="9" fontId="3" fillId="5" borderId="0" xfId="1" applyFont="1" applyFill="1" applyAlignment="1">
      <alignment wrapText="1"/>
    </xf>
    <xf numFmtId="0" fontId="3" fillId="0" borderId="0" xfId="0" applyFont="1" applyAlignment="1">
      <alignment horizontal="left" vertical="center" wrapText="1"/>
    </xf>
    <xf numFmtId="0" fontId="3" fillId="0" borderId="0" xfId="0" applyFont="1" applyAlignment="1">
      <alignment vertical="center" wrapText="1"/>
    </xf>
    <xf numFmtId="165" fontId="11" fillId="0" borderId="11" xfId="0" applyNumberFormat="1" applyFont="1" applyBorder="1" applyAlignment="1">
      <alignment horizontal="center" vertical="center"/>
    </xf>
    <xf numFmtId="165" fontId="11" fillId="0" borderId="12" xfId="0" applyNumberFormat="1" applyFont="1" applyBorder="1" applyAlignment="1">
      <alignment horizontal="center" vertical="center"/>
    </xf>
    <xf numFmtId="0" fontId="2" fillId="0" borderId="10" xfId="0" applyFont="1" applyBorder="1" applyAlignment="1">
      <alignment vertical="center" wrapText="1"/>
    </xf>
    <xf numFmtId="0" fontId="3" fillId="0" borderId="13" xfId="0" applyFont="1" applyBorder="1" applyAlignment="1">
      <alignment horizontal="left"/>
    </xf>
    <xf numFmtId="166" fontId="11" fillId="0" borderId="12" xfId="0" applyNumberFormat="1" applyFont="1" applyBorder="1" applyAlignment="1">
      <alignment horizontal="center" vertical="center"/>
    </xf>
  </cellXfs>
  <cellStyles count="67">
    <cellStyle name="Comma" xfId="66" builtinId="3"/>
    <cellStyle name="Comma 2" xfId="12" xr:uid="{F292AE36-C42F-404D-89EC-7DA3203D85DF}"/>
    <cellStyle name="Comma 3" xfId="64" xr:uid="{F84965C6-9542-4428-B383-1F50D5CE5094}"/>
    <cellStyle name="Comma 4" xfId="8" xr:uid="{DDB9BD0A-7ADF-4B95-9718-0C1CF08BCE13}"/>
    <cellStyle name="Currency 2" xfId="13" xr:uid="{877910EE-2A48-47B5-91C2-D4EB7FFA7036}"/>
    <cellStyle name="Currency 3" xfId="9" xr:uid="{2C606EEB-F879-4BD8-A9A0-CAB84CD31F65}"/>
    <cellStyle name="Hyperlink 2" xfId="10" xr:uid="{B33A806B-5070-4E08-AB3A-E5E0A607BCE1}"/>
    <cellStyle name="Milliers 2" xfId="49" xr:uid="{AD884F6C-6D9E-4564-8D8A-D13AB4114988}"/>
    <cellStyle name="Milliers 3" xfId="63" xr:uid="{16E015E4-36B3-4CF3-AC4E-81003344AAFF}"/>
    <cellStyle name="Milliers 4" xfId="62" xr:uid="{DE43BD55-5392-4BF3-A7C3-60E29D9755D5}"/>
    <cellStyle name="Normal" xfId="0" builtinId="0"/>
    <cellStyle name="Normal 2" xfId="6" xr:uid="{0981D864-2B3B-4A29-9E30-E8C4643F6510}"/>
    <cellStyle name="Normal 2 2" xfId="48" xr:uid="{EA2E4E19-EC2C-4429-87D4-5FD0F7217EA1}"/>
    <cellStyle name="Normal 3" xfId="7" xr:uid="{B43AD37D-386B-4E67-9A51-F172CF02186C}"/>
    <cellStyle name="Normal 3 3" xfId="4" xr:uid="{8E017445-90BE-4BAF-B506-9A842D91F43B}"/>
    <cellStyle name="Normal 4" xfId="2" xr:uid="{8B296255-7D9D-49A7-866D-A1E58B5E09C4}"/>
    <cellStyle name="Normal 5" xfId="65" xr:uid="{AC7A4F9B-1BF8-474A-B5E8-6838981B6A49}"/>
    <cellStyle name="Percent" xfId="1" builtinId="5"/>
    <cellStyle name="Percent 2" xfId="3" xr:uid="{BC944D77-B15C-4465-903D-E4525D8F5E80}"/>
    <cellStyle name="Percent 2 2" xfId="5" xr:uid="{1A60D7B0-5E3D-4E34-8365-142F47F47A4E}"/>
    <cellStyle name="SAPBorder" xfId="31" xr:uid="{EF47CAC9-0F15-4367-A6A7-367EDFFF0C0E}"/>
    <cellStyle name="SAPDataCell" xfId="11" xr:uid="{F028ADC2-B1C7-42AF-AF23-40F2CF7BF877}"/>
    <cellStyle name="SAPDataRemoved" xfId="54" xr:uid="{A7407EF9-5DB0-4ABA-9706-D434696B53BB}"/>
    <cellStyle name="SAPDataTotalCell" xfId="15" xr:uid="{9C78F5EF-2049-4965-A1B2-CA7170E63584}"/>
    <cellStyle name="SAPDimensionCell" xfId="14" xr:uid="{5598D0F8-FD13-4C31-BE61-12D34CB1A043}"/>
    <cellStyle name="SAPEditableDataCell" xfId="16" xr:uid="{A582A83B-41BC-4C18-9615-534D0AA80DE7}"/>
    <cellStyle name="SAPEditableDataCell 2" xfId="50" xr:uid="{2D479CED-3D99-4746-BEEE-F8863031199C}"/>
    <cellStyle name="SAPEditableDataTotalCell" xfId="19" xr:uid="{74AEFB82-C6EF-4030-B568-0DF290D2F27D}"/>
    <cellStyle name="SAPEditableDataTotalCell 2" xfId="52" xr:uid="{EE4C7D1F-FB9B-411F-8636-EB5EC41679CE}"/>
    <cellStyle name="SAPEmphasized" xfId="39" xr:uid="{A0A3A22A-CEE4-485D-9193-9B6505C5C9D9}"/>
    <cellStyle name="SAPEmphasizedEditableDataCell" xfId="41" xr:uid="{0DAE1FF6-EF67-4322-A40E-D57AD98A6C63}"/>
    <cellStyle name="SAPEmphasizedEditableDataCell 2" xfId="57" xr:uid="{34E2365D-1FDA-4469-8F5A-634B55FF57EE}"/>
    <cellStyle name="SAPEmphasizedEditableDataTotalCell" xfId="42" xr:uid="{793B7E60-BD46-4FEA-B708-EEE217E062AE}"/>
    <cellStyle name="SAPEmphasizedEditableDataTotalCell 2" xfId="58" xr:uid="{18957411-9D35-458A-A034-1404A392A74B}"/>
    <cellStyle name="SAPEmphasizedLockedDataCell" xfId="45" xr:uid="{9C0D92CD-2794-4B20-A541-84EB96AA4866}"/>
    <cellStyle name="SAPEmphasizedLockedDataCell 2" xfId="59" xr:uid="{99EC5196-F7F8-444B-A891-1053D4A60A08}"/>
    <cellStyle name="SAPEmphasizedLockedDataTotalCell" xfId="46" xr:uid="{424B26F7-97D5-4825-9153-9470D12F67E0}"/>
    <cellStyle name="SAPEmphasizedLockedDataTotalCell 2" xfId="60" xr:uid="{EFF1F262-FD8C-4E1C-A034-F3C7FB3C0FE9}"/>
    <cellStyle name="SAPEmphasizedReadonlyDataCell" xfId="43" xr:uid="{46B6E012-94E0-47EB-9C8E-32A1B0D41500}"/>
    <cellStyle name="SAPEmphasizedReadonlyDataTotalCell" xfId="44" xr:uid="{69DE85A1-1D7F-4945-9195-1007934AEA24}"/>
    <cellStyle name="SAPEmphasizedTotal" xfId="40" xr:uid="{7753CCB4-719A-48F6-A2C1-CC6D2A0BA8A1}"/>
    <cellStyle name="SAPError" xfId="55" xr:uid="{19167A47-55BB-478D-8F0F-452CB466011D}"/>
    <cellStyle name="SAPExceptionLevel1" xfId="22" xr:uid="{6A3C1E31-48A5-4441-AE41-DBEC74B59955}"/>
    <cellStyle name="SAPExceptionLevel2" xfId="23" xr:uid="{FBEAB9FA-2C6D-47C0-9F96-994C6CE61189}"/>
    <cellStyle name="SAPExceptionLevel3" xfId="24" xr:uid="{D81D3CBF-EAE4-429E-9DF7-37C7878C0224}"/>
    <cellStyle name="SAPExceptionLevel4" xfId="25" xr:uid="{977D2C95-1895-43B5-A3F2-9D39F510EEE1}"/>
    <cellStyle name="SAPExceptionLevel5" xfId="26" xr:uid="{D351B0E8-1375-43EF-9A23-E945C2EEBAD1}"/>
    <cellStyle name="SAPExceptionLevel6" xfId="27" xr:uid="{1158BCAF-CE33-4EF9-8995-DEEBC5912C5B}"/>
    <cellStyle name="SAPExceptionLevel7" xfId="28" xr:uid="{DBC5AF9A-310F-4E71-9120-458AF3AE1340}"/>
    <cellStyle name="SAPExceptionLevel8" xfId="29" xr:uid="{65E0C4D7-0300-41B0-9398-2A7A169FCB12}"/>
    <cellStyle name="SAPExceptionLevel9" xfId="30" xr:uid="{2805FCB4-BAAF-4CBD-AEFB-34832F7CF1B1}"/>
    <cellStyle name="SAPFormula" xfId="61" xr:uid="{C4E4E7D4-F29C-4C0A-B42E-82E9B442DA95}"/>
    <cellStyle name="SAPGroupingFillCell" xfId="47" xr:uid="{727B184A-1CE5-4C2C-97CE-B02AD40B9F8A}"/>
    <cellStyle name="SAPHierarchyCell0" xfId="34" xr:uid="{E6392E6B-83CD-4D05-B34B-B529A71278E7}"/>
    <cellStyle name="SAPHierarchyCell1" xfId="35" xr:uid="{01E105C8-57DB-4B66-B9C0-7B70EC686F71}"/>
    <cellStyle name="SAPHierarchyCell2" xfId="36" xr:uid="{7868D3DD-EF13-4A0D-9014-179876ABB248}"/>
    <cellStyle name="SAPHierarchyCell3" xfId="37" xr:uid="{FAB0FB8F-DD52-4127-8BDB-7299C0C11E29}"/>
    <cellStyle name="SAPHierarchyCell4" xfId="38" xr:uid="{3CBFD99B-FFE0-4C27-B602-089D2F370FD4}"/>
    <cellStyle name="SAPLockedDataCell" xfId="18" xr:uid="{0505E689-A43E-435B-B9E4-99097D54087C}"/>
    <cellStyle name="SAPLockedDataCell 2" xfId="51" xr:uid="{5F13CCED-9196-4556-A10B-0CED17ADAD1B}"/>
    <cellStyle name="SAPLockedDataTotalCell" xfId="21" xr:uid="{9F1E81AB-8447-4B7A-BC80-CF167AFB8E6E}"/>
    <cellStyle name="SAPLockedDataTotalCell 2" xfId="53" xr:uid="{100A503D-1B06-4D3E-8760-3AEEE3916A8E}"/>
    <cellStyle name="SAPMemberCell" xfId="32" xr:uid="{2ACDAB43-E96A-4E6F-9BDC-36CCB0677549}"/>
    <cellStyle name="SAPMemberTotalCell" xfId="33" xr:uid="{3411D3C1-9CF1-4BC3-B8A9-2BCD4BDFE3C5}"/>
    <cellStyle name="SAPMessageText" xfId="56" xr:uid="{721DCDB1-3378-4E83-832C-159D2467E923}"/>
    <cellStyle name="SAPReadonlyDataCell" xfId="17" xr:uid="{0D2DBB9D-C87C-432C-8CDC-6A664A979701}"/>
    <cellStyle name="SAPReadonlyDataTotalCell" xfId="20" xr:uid="{D84C1B72-0F99-43E9-B560-63FA0AB650FB}"/>
  </cellStyles>
  <dxfs count="0"/>
  <tableStyles count="0" defaultTableStyle="TableStyleMedium2" defaultPivotStyle="PivotStyleLight16"/>
  <colors>
    <mruColors>
      <color rgb="FFFFFF66"/>
      <color rgb="FF0000FF"/>
      <color rgb="FFFF6600"/>
      <color rgb="FFFF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Criteo – PowerPoint Theme (1/12/18)">
  <a:themeElements>
    <a:clrScheme name="Criteo Color Palette - 3-9-2018">
      <a:dk1>
        <a:srgbClr val="373C42"/>
      </a:dk1>
      <a:lt1>
        <a:srgbClr val="FFFFFF"/>
      </a:lt1>
      <a:dk2>
        <a:srgbClr val="727983"/>
      </a:dk2>
      <a:lt2>
        <a:srgbClr val="F2F3F3"/>
      </a:lt2>
      <a:accent1>
        <a:srgbClr val="F78B2C"/>
      </a:accent1>
      <a:accent2>
        <a:srgbClr val="FCBC2B"/>
      </a:accent2>
      <a:accent3>
        <a:srgbClr val="05B996"/>
      </a:accent3>
      <a:accent4>
        <a:srgbClr val="00A9CD"/>
      </a:accent4>
      <a:accent5>
        <a:srgbClr val="005581"/>
      </a:accent5>
      <a:accent6>
        <a:srgbClr val="F6815D"/>
      </a:accent6>
      <a:hlink>
        <a:srgbClr val="F78B2C"/>
      </a:hlink>
      <a:folHlink>
        <a:srgbClr val="727983"/>
      </a:folHlink>
    </a:clrScheme>
    <a:fontScheme name="Criteo">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ITEO – PowerPoint Theme" id="{80BA917B-EC35-874B-99CE-B0141613E73E}" vid="{021BF710-80FE-4B45-9BAF-3CB0CF87864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J103"/>
  <sheetViews>
    <sheetView showGridLines="0" zoomScale="90" zoomScaleNormal="90" workbookViewId="0">
      <pane xSplit="6" topLeftCell="AC1" activePane="topRight" state="frozen"/>
      <selection pane="topRight" activeCell="AJ1" sqref="AJ1:AJ1048576"/>
    </sheetView>
  </sheetViews>
  <sheetFormatPr defaultColWidth="21.33203125" defaultRowHeight="13.2" outlineLevelCol="1" x14ac:dyDescent="0.25"/>
  <cols>
    <col min="1" max="1" width="46.77734375" style="2" customWidth="1"/>
    <col min="2" max="6" width="17.6640625" style="2" hidden="1" customWidth="1" outlineLevel="1"/>
    <col min="7" max="7" width="17.6640625" style="2" hidden="1" customWidth="1" outlineLevel="1" collapsed="1"/>
    <col min="8" max="8" width="17.6640625" style="2" hidden="1" customWidth="1" outlineLevel="1"/>
    <col min="9" max="9" width="17.6640625" style="2" hidden="1" customWidth="1" outlineLevel="1" collapsed="1"/>
    <col min="10" max="10" width="17.6640625" style="2" hidden="1" customWidth="1" outlineLevel="1"/>
    <col min="11" max="11" width="17.6640625" style="2" hidden="1" customWidth="1" outlineLevel="1" collapsed="1"/>
    <col min="12" max="12" width="17.6640625" style="2" hidden="1" customWidth="1" outlineLevel="1"/>
    <col min="13" max="13" width="17.6640625" style="2" hidden="1" customWidth="1" collapsed="1"/>
    <col min="14" max="26" width="17.6640625" style="2" hidden="1" customWidth="1"/>
    <col min="27" max="35" width="17.6640625" style="2" customWidth="1"/>
    <col min="36" max="36" width="3.109375" style="151" customWidth="1"/>
    <col min="37" max="16384" width="21.33203125" style="2"/>
  </cols>
  <sheetData>
    <row r="1" spans="1:36" x14ac:dyDescent="0.25">
      <c r="A1" s="1" t="s">
        <v>0</v>
      </c>
    </row>
    <row r="2" spans="1:36" x14ac:dyDescent="0.25">
      <c r="A2" s="2" t="s">
        <v>1</v>
      </c>
    </row>
    <row r="3" spans="1:36" ht="15" customHeight="1" x14ac:dyDescent="0.25">
      <c r="A3" s="1"/>
      <c r="B3" s="118" t="s">
        <v>2</v>
      </c>
      <c r="C3" s="118" t="s">
        <v>3</v>
      </c>
      <c r="D3" s="118" t="s">
        <v>4</v>
      </c>
      <c r="E3" s="118" t="s">
        <v>5</v>
      </c>
      <c r="F3" s="118" t="s">
        <v>2</v>
      </c>
      <c r="G3" s="118" t="s">
        <v>3</v>
      </c>
      <c r="H3" s="118" t="s">
        <v>4</v>
      </c>
      <c r="I3" s="118" t="s">
        <v>5</v>
      </c>
      <c r="J3" s="118" t="s">
        <v>2</v>
      </c>
      <c r="K3" s="118" t="s">
        <v>3</v>
      </c>
      <c r="L3" s="118" t="s">
        <v>4</v>
      </c>
      <c r="M3" s="118" t="s">
        <v>5</v>
      </c>
      <c r="N3" s="118" t="s">
        <v>2</v>
      </c>
      <c r="O3" s="118" t="s">
        <v>3</v>
      </c>
      <c r="P3" s="118" t="s">
        <v>4</v>
      </c>
      <c r="Q3" s="118" t="s">
        <v>5</v>
      </c>
      <c r="R3" s="118" t="s">
        <v>2</v>
      </c>
      <c r="S3" s="118" t="s">
        <v>3</v>
      </c>
      <c r="T3" s="118" t="s">
        <v>4</v>
      </c>
      <c r="U3" s="118" t="s">
        <v>5</v>
      </c>
      <c r="V3" s="118" t="s">
        <v>2</v>
      </c>
      <c r="W3" s="118" t="s">
        <v>3</v>
      </c>
      <c r="X3" s="118" t="s">
        <v>4</v>
      </c>
      <c r="Y3" s="118" t="s">
        <v>5</v>
      </c>
      <c r="Z3" s="118" t="s">
        <v>2</v>
      </c>
      <c r="AA3" s="118" t="s">
        <v>3</v>
      </c>
      <c r="AB3" s="118" t="s">
        <v>4</v>
      </c>
      <c r="AC3" s="118" t="s">
        <v>5</v>
      </c>
      <c r="AD3" s="118" t="s">
        <v>2</v>
      </c>
      <c r="AE3" s="118" t="s">
        <v>3</v>
      </c>
      <c r="AF3" s="118" t="s">
        <v>4</v>
      </c>
      <c r="AG3" s="118" t="s">
        <v>5</v>
      </c>
      <c r="AH3" s="118" t="s">
        <v>2</v>
      </c>
      <c r="AI3" s="118" t="s">
        <v>3</v>
      </c>
    </row>
    <row r="4" spans="1:36" ht="15" customHeight="1" x14ac:dyDescent="0.25">
      <c r="A4" s="3"/>
      <c r="B4" s="4">
        <v>2015</v>
      </c>
      <c r="C4" s="4">
        <v>2016</v>
      </c>
      <c r="D4" s="4">
        <v>2016</v>
      </c>
      <c r="E4" s="4">
        <v>2016</v>
      </c>
      <c r="F4" s="4">
        <v>2016</v>
      </c>
      <c r="G4" s="4">
        <v>2017</v>
      </c>
      <c r="H4" s="4">
        <v>2017</v>
      </c>
      <c r="I4" s="4">
        <v>2017</v>
      </c>
      <c r="J4" s="4" t="s">
        <v>6</v>
      </c>
      <c r="K4" s="4" t="s">
        <v>7</v>
      </c>
      <c r="L4" s="4">
        <v>2018</v>
      </c>
      <c r="M4" s="4">
        <v>2018</v>
      </c>
      <c r="N4" s="4">
        <v>2018</v>
      </c>
      <c r="O4" s="4">
        <v>2019</v>
      </c>
      <c r="P4" s="4">
        <v>2019</v>
      </c>
      <c r="Q4" s="4">
        <v>2019</v>
      </c>
      <c r="R4" s="4">
        <v>2019</v>
      </c>
      <c r="S4" s="4">
        <v>2020</v>
      </c>
      <c r="T4" s="4">
        <v>2020</v>
      </c>
      <c r="U4" s="4">
        <v>2020</v>
      </c>
      <c r="V4" s="4">
        <v>2020</v>
      </c>
      <c r="W4" s="4">
        <v>2021</v>
      </c>
      <c r="X4" s="4">
        <v>2021</v>
      </c>
      <c r="Y4" s="4">
        <v>2021</v>
      </c>
      <c r="Z4" s="4">
        <v>2021</v>
      </c>
      <c r="AA4" s="4">
        <v>2022</v>
      </c>
      <c r="AB4" s="4">
        <v>2022</v>
      </c>
      <c r="AC4" s="4">
        <v>2022</v>
      </c>
      <c r="AD4" s="4">
        <v>2022</v>
      </c>
      <c r="AE4" s="4">
        <v>2023</v>
      </c>
      <c r="AF4" s="4">
        <v>2023</v>
      </c>
      <c r="AG4" s="4">
        <v>2023</v>
      </c>
      <c r="AH4" s="4">
        <v>2023</v>
      </c>
      <c r="AI4" s="4">
        <v>2024</v>
      </c>
    </row>
    <row r="5" spans="1:36" ht="15" customHeight="1" x14ac:dyDescent="0.25">
      <c r="A5" s="3"/>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row>
    <row r="6" spans="1:36" ht="15" customHeight="1" x14ac:dyDescent="0.25">
      <c r="A6" s="2" t="s">
        <v>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6" ht="15" customHeight="1" x14ac:dyDescent="0.25">
      <c r="A7" s="2" t="s">
        <v>9</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36" ht="15" customHeight="1" x14ac:dyDescent="0.25">
      <c r="A8" s="2" t="s">
        <v>10</v>
      </c>
      <c r="B8" s="309">
        <v>353537</v>
      </c>
      <c r="C8" s="309">
        <v>386110.54063881142</v>
      </c>
      <c r="D8" s="309">
        <v>377407.54063881142</v>
      </c>
      <c r="E8" s="309">
        <v>407158.54063881142</v>
      </c>
      <c r="F8" s="309">
        <v>270317.54063881142</v>
      </c>
      <c r="G8" s="309">
        <v>303813</v>
      </c>
      <c r="H8" s="309">
        <v>308185</v>
      </c>
      <c r="I8" s="309">
        <v>357983</v>
      </c>
      <c r="J8" s="309">
        <v>414111</v>
      </c>
      <c r="K8" s="309">
        <v>483874</v>
      </c>
      <c r="L8" s="309">
        <v>480285</v>
      </c>
      <c r="M8" s="309">
        <v>458690</v>
      </c>
      <c r="N8" s="309">
        <v>364426</v>
      </c>
      <c r="O8" s="309">
        <v>395771</v>
      </c>
      <c r="P8" s="309">
        <v>422053</v>
      </c>
      <c r="Q8" s="309">
        <v>409178</v>
      </c>
      <c r="R8" s="309">
        <v>418763</v>
      </c>
      <c r="S8" s="309">
        <v>436506</v>
      </c>
      <c r="T8" s="309">
        <v>578181</v>
      </c>
      <c r="U8" s="309">
        <v>626744</v>
      </c>
      <c r="V8" s="309">
        <v>488011</v>
      </c>
      <c r="W8" s="309">
        <v>520060</v>
      </c>
      <c r="X8" s="309">
        <v>489521</v>
      </c>
      <c r="Y8" s="309">
        <v>497458</v>
      </c>
      <c r="Z8" s="309">
        <v>515527</v>
      </c>
      <c r="AA8" s="309">
        <v>589343</v>
      </c>
      <c r="AB8" s="309">
        <v>562546</v>
      </c>
      <c r="AC8" s="309">
        <v>307323</v>
      </c>
      <c r="AD8" s="309">
        <v>348200</v>
      </c>
      <c r="AE8" s="309">
        <v>305662</v>
      </c>
      <c r="AF8" s="309">
        <v>223183</v>
      </c>
      <c r="AG8" s="309">
        <v>194857</v>
      </c>
      <c r="AH8" s="309">
        <v>336341</v>
      </c>
      <c r="AI8" s="309">
        <v>266862</v>
      </c>
      <c r="AJ8" s="310"/>
    </row>
    <row r="9" spans="1:36" ht="15" customHeight="1" x14ac:dyDescent="0.25">
      <c r="A9" s="2" t="s">
        <v>11</v>
      </c>
      <c r="B9" s="38">
        <v>261581</v>
      </c>
      <c r="C9" s="38">
        <v>262524</v>
      </c>
      <c r="D9" s="38">
        <v>266436</v>
      </c>
      <c r="E9" s="38">
        <v>268097</v>
      </c>
      <c r="F9" s="38">
        <v>397244</v>
      </c>
      <c r="G9" s="38">
        <v>340837</v>
      </c>
      <c r="H9" s="38">
        <v>370052</v>
      </c>
      <c r="I9" s="38">
        <v>373922</v>
      </c>
      <c r="J9" s="38">
        <v>484101</v>
      </c>
      <c r="K9" s="38">
        <v>395707</v>
      </c>
      <c r="L9" s="38">
        <v>372906</v>
      </c>
      <c r="M9" s="38">
        <v>356792</v>
      </c>
      <c r="N9" s="38">
        <v>473901</v>
      </c>
      <c r="O9" s="38">
        <v>386792</v>
      </c>
      <c r="P9" s="38">
        <v>374949</v>
      </c>
      <c r="Q9" s="38">
        <v>356699</v>
      </c>
      <c r="R9" s="38">
        <v>481732</v>
      </c>
      <c r="S9" s="38">
        <v>364440</v>
      </c>
      <c r="T9" s="38">
        <v>329979</v>
      </c>
      <c r="U9" s="38">
        <v>335583</v>
      </c>
      <c r="V9" s="38">
        <v>474055</v>
      </c>
      <c r="W9" s="38">
        <v>416910</v>
      </c>
      <c r="X9" s="38">
        <v>438703</v>
      </c>
      <c r="Y9" s="38">
        <v>439493</v>
      </c>
      <c r="Z9" s="38">
        <v>581988</v>
      </c>
      <c r="AA9" s="38">
        <v>479636</v>
      </c>
      <c r="AB9" s="38">
        <v>490643</v>
      </c>
      <c r="AC9" s="38">
        <v>576082</v>
      </c>
      <c r="AD9" s="38">
        <v>708949</v>
      </c>
      <c r="AE9" s="38">
        <v>545840</v>
      </c>
      <c r="AF9" s="38">
        <v>573463</v>
      </c>
      <c r="AG9" s="38">
        <v>624562</v>
      </c>
      <c r="AH9" s="38">
        <v>775589</v>
      </c>
      <c r="AI9" s="38">
        <v>610676</v>
      </c>
    </row>
    <row r="10" spans="1:36" ht="15" customHeight="1" x14ac:dyDescent="0.25">
      <c r="A10" s="120" t="s">
        <v>12</v>
      </c>
      <c r="B10" s="38">
        <v>2714</v>
      </c>
      <c r="C10" s="38">
        <v>2977</v>
      </c>
      <c r="D10" s="38">
        <v>5277</v>
      </c>
      <c r="E10" s="38">
        <v>4422</v>
      </c>
      <c r="F10" s="38">
        <v>2741</v>
      </c>
      <c r="G10" s="38">
        <v>3560</v>
      </c>
      <c r="H10" s="38">
        <v>6872</v>
      </c>
      <c r="I10" s="38">
        <v>5295</v>
      </c>
      <c r="J10" s="38">
        <v>8882</v>
      </c>
      <c r="K10" s="38">
        <v>7646</v>
      </c>
      <c r="L10" s="38">
        <v>11921</v>
      </c>
      <c r="M10" s="38">
        <v>20316</v>
      </c>
      <c r="N10" s="38">
        <v>19370</v>
      </c>
      <c r="O10" s="38">
        <v>8182</v>
      </c>
      <c r="P10" s="38">
        <v>18185</v>
      </c>
      <c r="Q10" s="38">
        <v>22412</v>
      </c>
      <c r="R10" s="38">
        <v>21817</v>
      </c>
      <c r="S10" s="38">
        <v>23101</v>
      </c>
      <c r="T10" s="38">
        <v>19932</v>
      </c>
      <c r="U10" s="38">
        <v>11422</v>
      </c>
      <c r="V10" s="38">
        <v>11092</v>
      </c>
      <c r="W10" s="38">
        <v>12750</v>
      </c>
      <c r="X10" s="38">
        <v>13055</v>
      </c>
      <c r="Y10" s="38">
        <v>14276</v>
      </c>
      <c r="Z10" s="38">
        <v>8784</v>
      </c>
      <c r="AA10" s="38">
        <v>10131</v>
      </c>
      <c r="AB10" s="38">
        <v>19888</v>
      </c>
      <c r="AC10" s="38">
        <v>16474</v>
      </c>
      <c r="AD10" s="38">
        <v>23609</v>
      </c>
      <c r="AE10" s="38">
        <v>28008</v>
      </c>
      <c r="AF10" s="38">
        <v>28473</v>
      </c>
      <c r="AG10" s="38">
        <v>29916</v>
      </c>
      <c r="AH10" s="38">
        <v>2065</v>
      </c>
      <c r="AI10" s="38">
        <v>1912</v>
      </c>
    </row>
    <row r="11" spans="1:36" ht="15" customHeight="1" x14ac:dyDescent="0.25">
      <c r="A11" s="120" t="s">
        <v>13</v>
      </c>
      <c r="B11" s="38">
        <v>29552</v>
      </c>
      <c r="C11" s="38">
        <v>35332</v>
      </c>
      <c r="D11" s="38">
        <v>39527</v>
      </c>
      <c r="E11" s="38">
        <v>45323</v>
      </c>
      <c r="F11" s="38">
        <v>52942</v>
      </c>
      <c r="G11" s="38">
        <v>44834</v>
      </c>
      <c r="H11" s="38">
        <v>46514</v>
      </c>
      <c r="I11" s="38">
        <v>46095</v>
      </c>
      <c r="J11" s="38">
        <v>58346</v>
      </c>
      <c r="K11" s="38">
        <v>52557</v>
      </c>
      <c r="L11" s="38">
        <v>42076</v>
      </c>
      <c r="M11" s="38">
        <v>48722</v>
      </c>
      <c r="N11" s="38">
        <v>53338</v>
      </c>
      <c r="O11" s="38">
        <v>56828</v>
      </c>
      <c r="P11" s="38">
        <v>56090</v>
      </c>
      <c r="Q11" s="38">
        <v>52810</v>
      </c>
      <c r="R11" s="38">
        <v>60924</v>
      </c>
      <c r="S11" s="38">
        <v>65293</v>
      </c>
      <c r="T11" s="38">
        <v>54008</v>
      </c>
      <c r="U11" s="38">
        <v>58123</v>
      </c>
      <c r="V11" s="38">
        <v>69987</v>
      </c>
      <c r="W11" s="38">
        <v>69692</v>
      </c>
      <c r="X11" s="38">
        <v>71866</v>
      </c>
      <c r="Y11" s="38">
        <v>75214</v>
      </c>
      <c r="Z11" s="38">
        <v>73388</v>
      </c>
      <c r="AA11" s="38">
        <v>72869</v>
      </c>
      <c r="AB11" s="38">
        <v>68608</v>
      </c>
      <c r="AC11" s="38">
        <v>75795</v>
      </c>
      <c r="AD11" s="38">
        <v>78274</v>
      </c>
      <c r="AE11" s="38">
        <v>91354</v>
      </c>
      <c r="AF11" s="38">
        <v>92063</v>
      </c>
      <c r="AG11" s="38">
        <v>87465</v>
      </c>
      <c r="AH11" s="38">
        <v>109306</v>
      </c>
      <c r="AI11" s="38">
        <v>142630</v>
      </c>
    </row>
    <row r="12" spans="1:36" ht="15" customHeight="1" x14ac:dyDescent="0.25">
      <c r="A12" s="120" t="s">
        <v>14</v>
      </c>
      <c r="B12" s="38">
        <v>16030</v>
      </c>
      <c r="C12" s="38">
        <v>22374</v>
      </c>
      <c r="D12" s="38">
        <v>23164</v>
      </c>
      <c r="E12" s="38">
        <v>20288</v>
      </c>
      <c r="F12" s="38">
        <v>19340</v>
      </c>
      <c r="G12" s="38">
        <v>22772</v>
      </c>
      <c r="H12" s="38">
        <v>28270</v>
      </c>
      <c r="I12" s="38">
        <v>26945</v>
      </c>
      <c r="J12" s="38">
        <v>26327</v>
      </c>
      <c r="K12" s="38">
        <v>26463</v>
      </c>
      <c r="L12" s="38">
        <v>26114</v>
      </c>
      <c r="M12" s="38">
        <v>26855</v>
      </c>
      <c r="N12" s="38">
        <v>22816</v>
      </c>
      <c r="O12" s="38">
        <v>24737</v>
      </c>
      <c r="P12" s="38">
        <v>18751</v>
      </c>
      <c r="Q12" s="38">
        <v>18165</v>
      </c>
      <c r="R12" s="38">
        <v>17225</v>
      </c>
      <c r="S12" s="38">
        <v>19832</v>
      </c>
      <c r="T12" s="38">
        <v>17306</v>
      </c>
      <c r="U12" s="38">
        <v>19278</v>
      </c>
      <c r="V12" s="38">
        <v>21405</v>
      </c>
      <c r="W12" s="38">
        <v>22494</v>
      </c>
      <c r="X12" s="38">
        <v>21841</v>
      </c>
      <c r="Y12" s="38">
        <v>23185</v>
      </c>
      <c r="Z12" s="38">
        <v>34182</v>
      </c>
      <c r="AA12" s="38">
        <v>45460</v>
      </c>
      <c r="AB12" s="38">
        <v>39240</v>
      </c>
      <c r="AC12" s="38">
        <v>34347</v>
      </c>
      <c r="AD12" s="38">
        <v>51866</v>
      </c>
      <c r="AE12" s="38">
        <v>58116</v>
      </c>
      <c r="AF12" s="38">
        <v>45268</v>
      </c>
      <c r="AG12" s="38">
        <v>42052</v>
      </c>
      <c r="AH12" s="38">
        <v>48291</v>
      </c>
      <c r="AI12" s="38">
        <v>50131</v>
      </c>
    </row>
    <row r="13" spans="1:36" ht="15" customHeight="1" x14ac:dyDescent="0.25">
      <c r="A13" s="120" t="s">
        <v>15</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v>25000</v>
      </c>
      <c r="AD13" s="38">
        <v>25000</v>
      </c>
      <c r="AE13" s="38">
        <v>75001</v>
      </c>
      <c r="AF13" s="38">
        <v>75000</v>
      </c>
      <c r="AG13" s="38">
        <v>75000</v>
      </c>
      <c r="AH13" s="38">
        <v>75000</v>
      </c>
      <c r="AI13" s="38">
        <v>75000</v>
      </c>
    </row>
    <row r="14" spans="1:36" ht="15" customHeight="1" x14ac:dyDescent="0.25">
      <c r="A14" s="120" t="s">
        <v>16</v>
      </c>
      <c r="B14" s="40"/>
      <c r="C14" s="40"/>
      <c r="D14" s="40"/>
      <c r="E14" s="40"/>
      <c r="F14" s="40"/>
      <c r="G14" s="40"/>
      <c r="H14" s="40"/>
      <c r="I14" s="40"/>
      <c r="J14" s="40"/>
      <c r="K14" s="40"/>
      <c r="L14" s="40"/>
      <c r="M14" s="40"/>
      <c r="N14" s="40"/>
      <c r="O14" s="40"/>
      <c r="P14" s="40"/>
      <c r="Q14" s="40"/>
      <c r="R14" s="40"/>
      <c r="S14" s="40"/>
      <c r="T14" s="40"/>
      <c r="U14" s="40"/>
      <c r="V14" s="40"/>
      <c r="W14" s="40">
        <v>17586</v>
      </c>
      <c r="X14" s="40">
        <v>53471</v>
      </c>
      <c r="Y14" s="40">
        <v>46311</v>
      </c>
      <c r="Z14" s="40">
        <v>50299</v>
      </c>
      <c r="AA14" s="40">
        <v>31387</v>
      </c>
      <c r="AB14" s="40">
        <v>10000</v>
      </c>
      <c r="AC14" s="40">
        <v>10000</v>
      </c>
      <c r="AD14" s="40">
        <v>25098</v>
      </c>
      <c r="AE14" s="40">
        <v>21168</v>
      </c>
      <c r="AF14" s="40">
        <v>21151</v>
      </c>
      <c r="AG14" s="40">
        <v>21091</v>
      </c>
      <c r="AH14" s="40">
        <v>5970</v>
      </c>
      <c r="AI14" s="40">
        <v>11226</v>
      </c>
    </row>
    <row r="15" spans="1:36" ht="15" customHeight="1" x14ac:dyDescent="0.25">
      <c r="A15" s="121" t="s">
        <v>17</v>
      </c>
      <c r="B15" s="41">
        <f t="shared" ref="B15:E15" si="0">SUM(B8:B12)</f>
        <v>663414</v>
      </c>
      <c r="C15" s="41">
        <f>SUM(C8:C12)</f>
        <v>709317.54063881142</v>
      </c>
      <c r="D15" s="41">
        <f t="shared" si="0"/>
        <v>711811.54063881142</v>
      </c>
      <c r="E15" s="41">
        <f t="shared" si="0"/>
        <v>745288.54063881142</v>
      </c>
      <c r="F15" s="41">
        <f>SUM(F8:F12)</f>
        <v>742584.54063881142</v>
      </c>
      <c r="G15" s="41">
        <f>SUM(G8:G12)</f>
        <v>715816</v>
      </c>
      <c r="H15" s="41">
        <f>SUM(H8:H12)</f>
        <v>759893</v>
      </c>
      <c r="I15" s="41">
        <v>810240</v>
      </c>
      <c r="J15" s="41">
        <f t="shared" ref="J15:R15" si="1">SUM(J8:J12)</f>
        <v>991767</v>
      </c>
      <c r="K15" s="41">
        <f t="shared" si="1"/>
        <v>966247</v>
      </c>
      <c r="L15" s="41">
        <f t="shared" si="1"/>
        <v>933302</v>
      </c>
      <c r="M15" s="41">
        <f t="shared" si="1"/>
        <v>911375</v>
      </c>
      <c r="N15" s="41">
        <f t="shared" si="1"/>
        <v>933851</v>
      </c>
      <c r="O15" s="41">
        <f t="shared" si="1"/>
        <v>872310</v>
      </c>
      <c r="P15" s="41">
        <f t="shared" si="1"/>
        <v>890028</v>
      </c>
      <c r="Q15" s="41">
        <f t="shared" si="1"/>
        <v>859264</v>
      </c>
      <c r="R15" s="41">
        <f t="shared" si="1"/>
        <v>1000461</v>
      </c>
      <c r="S15" s="41">
        <f t="shared" ref="S15:V15" si="2">SUM(S8:S12)</f>
        <v>909172</v>
      </c>
      <c r="T15" s="41">
        <f t="shared" si="2"/>
        <v>999406</v>
      </c>
      <c r="U15" s="41">
        <f t="shared" si="2"/>
        <v>1051150</v>
      </c>
      <c r="V15" s="41">
        <f t="shared" si="2"/>
        <v>1064550</v>
      </c>
      <c r="W15" s="41">
        <f t="shared" ref="W15:AA15" si="3">SUM(W8:W14)</f>
        <v>1059492</v>
      </c>
      <c r="X15" s="41">
        <f t="shared" si="3"/>
        <v>1088457</v>
      </c>
      <c r="Y15" s="41">
        <f t="shared" si="3"/>
        <v>1095937</v>
      </c>
      <c r="Z15" s="41">
        <f t="shared" si="3"/>
        <v>1264168</v>
      </c>
      <c r="AA15" s="41">
        <f t="shared" si="3"/>
        <v>1228826</v>
      </c>
      <c r="AB15" s="41">
        <f t="shared" ref="AB15:AH15" si="4">SUM(AB8:AB14)</f>
        <v>1190925</v>
      </c>
      <c r="AC15" s="41">
        <f t="shared" si="4"/>
        <v>1045021</v>
      </c>
      <c r="AD15" s="41">
        <f t="shared" si="4"/>
        <v>1260996</v>
      </c>
      <c r="AE15" s="41">
        <f t="shared" si="4"/>
        <v>1125149</v>
      </c>
      <c r="AF15" s="41">
        <f t="shared" si="4"/>
        <v>1058601</v>
      </c>
      <c r="AG15" s="41">
        <f t="shared" si="4"/>
        <v>1074943</v>
      </c>
      <c r="AH15" s="41">
        <f t="shared" si="4"/>
        <v>1352562</v>
      </c>
      <c r="AI15" s="41">
        <f t="shared" ref="AI15" si="5">SUM(AI8:AI14)</f>
        <v>1158437</v>
      </c>
      <c r="AJ15" s="254"/>
    </row>
    <row r="16" spans="1:36" ht="15" customHeight="1" x14ac:dyDescent="0.25">
      <c r="A16" s="2" t="s">
        <v>18</v>
      </c>
      <c r="B16" s="59">
        <v>82482</v>
      </c>
      <c r="C16" s="59">
        <v>85845</v>
      </c>
      <c r="D16" s="59">
        <v>97236</v>
      </c>
      <c r="E16" s="59">
        <v>98353</v>
      </c>
      <c r="F16" s="59">
        <v>108581</v>
      </c>
      <c r="G16" s="59">
        <v>115415</v>
      </c>
      <c r="H16" s="59">
        <v>131346</v>
      </c>
      <c r="I16" s="59">
        <v>134885</v>
      </c>
      <c r="J16" s="59">
        <v>161738</v>
      </c>
      <c r="K16" s="59">
        <v>153252</v>
      </c>
      <c r="L16" s="59">
        <v>146904</v>
      </c>
      <c r="M16" s="59">
        <v>183777</v>
      </c>
      <c r="N16" s="59">
        <v>184013</v>
      </c>
      <c r="O16" s="59">
        <v>180377</v>
      </c>
      <c r="P16" s="59">
        <v>192651</v>
      </c>
      <c r="Q16" s="59">
        <v>197522</v>
      </c>
      <c r="R16" s="59">
        <v>194161</v>
      </c>
      <c r="S16" s="59">
        <v>181848</v>
      </c>
      <c r="T16" s="59">
        <v>195736</v>
      </c>
      <c r="U16" s="59">
        <v>195679</v>
      </c>
      <c r="V16" s="59">
        <v>189505</v>
      </c>
      <c r="W16" s="59">
        <v>168036</v>
      </c>
      <c r="X16" s="59">
        <v>161971</v>
      </c>
      <c r="Y16" s="59">
        <v>150112</v>
      </c>
      <c r="Z16" s="59">
        <v>139961</v>
      </c>
      <c r="AA16" s="59">
        <v>129164</v>
      </c>
      <c r="AB16" s="59">
        <v>124133</v>
      </c>
      <c r="AC16" s="59">
        <v>114493</v>
      </c>
      <c r="AD16" s="59">
        <v>131207</v>
      </c>
      <c r="AE16" s="59">
        <v>146211</v>
      </c>
      <c r="AF16" s="59">
        <v>143724</v>
      </c>
      <c r="AG16" s="59">
        <v>134241</v>
      </c>
      <c r="AH16" s="59">
        <v>126494</v>
      </c>
      <c r="AI16" s="59">
        <v>116798</v>
      </c>
    </row>
    <row r="17" spans="1:36" ht="15" customHeight="1" x14ac:dyDescent="0.25">
      <c r="A17" s="2" t="s">
        <v>19</v>
      </c>
      <c r="B17" s="38">
        <v>16470</v>
      </c>
      <c r="C17" s="38">
        <v>17024</v>
      </c>
      <c r="D17" s="38">
        <v>17170</v>
      </c>
      <c r="E17" s="38">
        <v>18595</v>
      </c>
      <c r="F17" s="38">
        <v>102944</v>
      </c>
      <c r="G17" s="38">
        <v>107962</v>
      </c>
      <c r="H17" s="38">
        <v>104045</v>
      </c>
      <c r="I17" s="38">
        <v>99714</v>
      </c>
      <c r="J17" s="38">
        <v>96223</v>
      </c>
      <c r="K17" s="38">
        <v>92384</v>
      </c>
      <c r="L17" s="38">
        <v>87031</v>
      </c>
      <c r="M17" s="38">
        <v>96848</v>
      </c>
      <c r="N17" s="38">
        <v>112036</v>
      </c>
      <c r="O17" s="38">
        <v>107218</v>
      </c>
      <c r="P17" s="38">
        <v>103113</v>
      </c>
      <c r="Q17" s="38">
        <v>95701</v>
      </c>
      <c r="R17" s="38">
        <v>86886</v>
      </c>
      <c r="S17" s="38">
        <v>79818</v>
      </c>
      <c r="T17" s="38">
        <v>78185</v>
      </c>
      <c r="U17" s="38">
        <v>78340</v>
      </c>
      <c r="V17" s="38">
        <v>79744</v>
      </c>
      <c r="W17" s="38">
        <v>79440</v>
      </c>
      <c r="X17" s="38">
        <v>88558</v>
      </c>
      <c r="Y17" s="38">
        <v>89288</v>
      </c>
      <c r="Z17" s="38">
        <v>82627</v>
      </c>
      <c r="AA17" s="38">
        <v>79441</v>
      </c>
      <c r="AB17" s="38">
        <v>78018</v>
      </c>
      <c r="AC17" s="38">
        <v>77464</v>
      </c>
      <c r="AD17" s="38">
        <v>175983</v>
      </c>
      <c r="AE17" s="38">
        <v>179877</v>
      </c>
      <c r="AF17" s="38">
        <v>179185</v>
      </c>
      <c r="AG17" s="38">
        <v>174029</v>
      </c>
      <c r="AH17" s="38">
        <v>180888</v>
      </c>
      <c r="AI17" s="38">
        <v>175259</v>
      </c>
    </row>
    <row r="18" spans="1:36" ht="15" customHeight="1" x14ac:dyDescent="0.25">
      <c r="A18" s="2" t="s">
        <v>20</v>
      </c>
      <c r="B18" s="38">
        <v>41973</v>
      </c>
      <c r="C18" s="38">
        <v>42736</v>
      </c>
      <c r="D18" s="38">
        <v>46859</v>
      </c>
      <c r="E18" s="38">
        <v>45690</v>
      </c>
      <c r="F18" s="38">
        <v>209418</v>
      </c>
      <c r="G18" s="38">
        <v>232138</v>
      </c>
      <c r="H18" s="38">
        <v>235337</v>
      </c>
      <c r="I18" s="38">
        <v>236363</v>
      </c>
      <c r="J18" s="38">
        <v>236826</v>
      </c>
      <c r="K18" s="38">
        <v>237757</v>
      </c>
      <c r="L18" s="38">
        <v>235950</v>
      </c>
      <c r="M18" s="38">
        <v>268734</v>
      </c>
      <c r="N18" s="38">
        <v>312881</v>
      </c>
      <c r="O18" s="38">
        <v>317076</v>
      </c>
      <c r="P18" s="38">
        <v>317093</v>
      </c>
      <c r="Q18" s="38">
        <v>314872</v>
      </c>
      <c r="R18" s="38">
        <v>317100</v>
      </c>
      <c r="S18" s="38">
        <v>315266</v>
      </c>
      <c r="T18" s="38">
        <v>316575</v>
      </c>
      <c r="U18" s="38">
        <v>319595</v>
      </c>
      <c r="V18" s="38">
        <v>325805</v>
      </c>
      <c r="W18" s="38">
        <v>322821</v>
      </c>
      <c r="X18" s="38">
        <v>332295</v>
      </c>
      <c r="Y18" s="38">
        <v>330561</v>
      </c>
      <c r="Z18" s="38">
        <v>329699</v>
      </c>
      <c r="AA18" s="38">
        <v>328125</v>
      </c>
      <c r="AB18" s="38">
        <v>322972</v>
      </c>
      <c r="AC18" s="38">
        <v>597781</v>
      </c>
      <c r="AD18" s="38">
        <v>515140</v>
      </c>
      <c r="AE18" s="38">
        <v>522788</v>
      </c>
      <c r="AF18" s="38">
        <v>522536</v>
      </c>
      <c r="AG18" s="38">
        <v>518655</v>
      </c>
      <c r="AH18" s="38">
        <v>524197</v>
      </c>
      <c r="AI18" s="38">
        <v>521198</v>
      </c>
    </row>
    <row r="19" spans="1:36" ht="15" customHeight="1" x14ac:dyDescent="0.25">
      <c r="A19" s="2" t="s">
        <v>21</v>
      </c>
      <c r="B19" s="38"/>
      <c r="C19" s="38"/>
      <c r="D19" s="38"/>
      <c r="E19" s="38"/>
      <c r="F19" s="38"/>
      <c r="G19" s="38"/>
      <c r="H19" s="38"/>
      <c r="I19" s="38"/>
      <c r="J19" s="38"/>
      <c r="K19" s="38"/>
      <c r="L19" s="38"/>
      <c r="M19" s="38"/>
      <c r="N19" s="38"/>
      <c r="O19" s="38">
        <v>200274</v>
      </c>
      <c r="P19" s="38">
        <v>183725</v>
      </c>
      <c r="Q19" s="38">
        <v>169921</v>
      </c>
      <c r="R19" s="38">
        <v>142044</v>
      </c>
      <c r="S19" s="38">
        <v>139954</v>
      </c>
      <c r="T19" s="38">
        <v>137808</v>
      </c>
      <c r="U19" s="38">
        <v>120283</v>
      </c>
      <c r="V19" s="38">
        <v>114012</v>
      </c>
      <c r="W19" s="38">
        <v>96266</v>
      </c>
      <c r="X19" s="38">
        <v>130104</v>
      </c>
      <c r="Y19" s="38">
        <v>117273</v>
      </c>
      <c r="Z19" s="38">
        <v>120257</v>
      </c>
      <c r="AA19" s="38">
        <v>110784</v>
      </c>
      <c r="AB19" s="38">
        <v>108563</v>
      </c>
      <c r="AC19" s="38">
        <v>101982</v>
      </c>
      <c r="AD19" s="38">
        <v>102176</v>
      </c>
      <c r="AE19" s="38">
        <v>107749</v>
      </c>
      <c r="AF19" s="38">
        <v>100971</v>
      </c>
      <c r="AG19" s="38">
        <v>112178</v>
      </c>
      <c r="AH19" s="38">
        <v>112487</v>
      </c>
      <c r="AI19" s="38">
        <v>106765</v>
      </c>
    </row>
    <row r="20" spans="1:36" ht="15" customHeight="1" x14ac:dyDescent="0.25">
      <c r="A20" s="2" t="s">
        <v>22</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v>75000</v>
      </c>
      <c r="AD20" s="38">
        <v>75000</v>
      </c>
      <c r="AE20" s="38" t="s">
        <v>23</v>
      </c>
      <c r="AF20" s="38">
        <v>0</v>
      </c>
      <c r="AG20" s="38">
        <v>0</v>
      </c>
      <c r="AH20" s="38">
        <v>0</v>
      </c>
      <c r="AI20" s="38">
        <v>0</v>
      </c>
    </row>
    <row r="21" spans="1:36" ht="15" customHeight="1" x14ac:dyDescent="0.25">
      <c r="A21" s="2" t="s">
        <v>24</v>
      </c>
      <c r="B21" s="38"/>
      <c r="C21" s="38"/>
      <c r="D21" s="38"/>
      <c r="E21" s="38"/>
      <c r="F21" s="38"/>
      <c r="G21" s="38"/>
      <c r="H21" s="38"/>
      <c r="I21" s="38"/>
      <c r="J21" s="38"/>
      <c r="K21" s="38"/>
      <c r="L21" s="38"/>
      <c r="M21" s="38"/>
      <c r="N21" s="38"/>
      <c r="O21" s="38"/>
      <c r="P21" s="38"/>
      <c r="Q21" s="38"/>
      <c r="R21" s="38"/>
      <c r="S21" s="38"/>
      <c r="T21" s="38">
        <v>22396</v>
      </c>
      <c r="U21" s="38">
        <v>23416</v>
      </c>
      <c r="V21" s="38">
        <v>41809</v>
      </c>
      <c r="W21" s="38">
        <v>28281</v>
      </c>
      <c r="X21" s="38">
        <v>10000</v>
      </c>
      <c r="Y21" s="38">
        <v>10000</v>
      </c>
      <c r="Z21" s="38">
        <v>5000</v>
      </c>
      <c r="AA21" s="38">
        <v>0</v>
      </c>
      <c r="AB21" s="38">
        <v>0</v>
      </c>
      <c r="AC21" s="38">
        <v>0</v>
      </c>
      <c r="AD21" s="38">
        <v>0</v>
      </c>
      <c r="AE21" s="38">
        <v>10875</v>
      </c>
      <c r="AF21" s="38">
        <v>16299</v>
      </c>
      <c r="AG21" s="38">
        <v>15891</v>
      </c>
      <c r="AH21" s="38">
        <v>16575</v>
      </c>
      <c r="AI21" s="38">
        <v>10811</v>
      </c>
    </row>
    <row r="22" spans="1:36" ht="15" customHeight="1" x14ac:dyDescent="0.25">
      <c r="A22" s="2" t="s">
        <v>25</v>
      </c>
      <c r="B22" s="38">
        <v>17184</v>
      </c>
      <c r="C22" s="38">
        <v>16880</v>
      </c>
      <c r="D22" s="38">
        <v>17010</v>
      </c>
      <c r="E22" s="38">
        <v>17453</v>
      </c>
      <c r="F22" s="38">
        <v>17029</v>
      </c>
      <c r="G22" s="38">
        <v>19857</v>
      </c>
      <c r="H22" s="38">
        <v>18824</v>
      </c>
      <c r="I22" s="38">
        <v>19350</v>
      </c>
      <c r="J22" s="38">
        <v>19525</v>
      </c>
      <c r="K22" s="38">
        <v>21137</v>
      </c>
      <c r="L22" s="38">
        <v>20226</v>
      </c>
      <c r="M22" s="38">
        <v>20491</v>
      </c>
      <c r="N22" s="38">
        <v>20460</v>
      </c>
      <c r="O22" s="38">
        <v>20331</v>
      </c>
      <c r="P22" s="38">
        <v>21613</v>
      </c>
      <c r="Q22" s="38">
        <v>21251</v>
      </c>
      <c r="R22" s="38">
        <v>21747</v>
      </c>
      <c r="S22" s="38">
        <v>20373</v>
      </c>
      <c r="T22" s="38">
        <v>19809</v>
      </c>
      <c r="U22" s="38">
        <v>20174</v>
      </c>
      <c r="V22" s="38">
        <v>18109</v>
      </c>
      <c r="W22" s="38">
        <v>14788</v>
      </c>
      <c r="X22" s="38">
        <v>14766</v>
      </c>
      <c r="Y22" s="38">
        <v>7371</v>
      </c>
      <c r="Z22" s="38">
        <v>6436</v>
      </c>
      <c r="AA22" s="38">
        <v>6855</v>
      </c>
      <c r="AB22" s="38">
        <v>4908</v>
      </c>
      <c r="AC22" s="38">
        <v>6864</v>
      </c>
      <c r="AD22" s="38">
        <v>5928</v>
      </c>
      <c r="AE22" s="38">
        <v>4542</v>
      </c>
      <c r="AF22" s="38">
        <v>5311</v>
      </c>
      <c r="AG22" s="38">
        <v>4977</v>
      </c>
      <c r="AH22" s="38">
        <v>5294</v>
      </c>
      <c r="AI22" s="38">
        <v>5372</v>
      </c>
    </row>
    <row r="23" spans="1:36" ht="15" customHeight="1" x14ac:dyDescent="0.25">
      <c r="A23" s="2" t="s">
        <v>26</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v>54478</v>
      </c>
      <c r="AD23" s="38">
        <v>50818</v>
      </c>
      <c r="AE23" s="38">
        <v>50000</v>
      </c>
      <c r="AF23" s="38">
        <v>49719</v>
      </c>
      <c r="AG23" s="38">
        <v>49719</v>
      </c>
      <c r="AH23" s="38">
        <v>60742</v>
      </c>
      <c r="AI23" s="38">
        <v>60221</v>
      </c>
    </row>
    <row r="24" spans="1:36" ht="15" customHeight="1" x14ac:dyDescent="0.25">
      <c r="A24" s="2" t="s">
        <v>27</v>
      </c>
      <c r="B24" s="40">
        <v>20196</v>
      </c>
      <c r="C24" s="40">
        <v>21911</v>
      </c>
      <c r="D24" s="40">
        <v>25330</v>
      </c>
      <c r="E24" s="40">
        <v>28586</v>
      </c>
      <c r="F24" s="40">
        <v>30630</v>
      </c>
      <c r="G24" s="40">
        <v>46201</v>
      </c>
      <c r="H24" s="40">
        <v>48700</v>
      </c>
      <c r="I24" s="40">
        <v>57642</v>
      </c>
      <c r="J24" s="40">
        <v>25221</v>
      </c>
      <c r="K24" s="40">
        <v>28583</v>
      </c>
      <c r="L24" s="40">
        <v>33129</v>
      </c>
      <c r="M24" s="40">
        <v>34718</v>
      </c>
      <c r="N24" s="40">
        <v>33894</v>
      </c>
      <c r="O24" s="40">
        <v>48330</v>
      </c>
      <c r="P24" s="40">
        <v>41346</v>
      </c>
      <c r="Q24" s="40">
        <v>43357</v>
      </c>
      <c r="R24" s="40">
        <v>27985</v>
      </c>
      <c r="S24" s="40">
        <v>29458</v>
      </c>
      <c r="T24" s="40">
        <v>34487</v>
      </c>
      <c r="U24" s="40">
        <v>34731</v>
      </c>
      <c r="V24" s="40">
        <v>19876</v>
      </c>
      <c r="W24" s="40">
        <v>13511</v>
      </c>
      <c r="X24" s="40">
        <v>16291</v>
      </c>
      <c r="Y24" s="40">
        <v>13951</v>
      </c>
      <c r="Z24" s="40">
        <v>35443</v>
      </c>
      <c r="AA24" s="40">
        <v>32145</v>
      </c>
      <c r="AB24" s="40">
        <v>41325</v>
      </c>
      <c r="AC24" s="40">
        <v>49487</v>
      </c>
      <c r="AD24" s="40">
        <v>31646</v>
      </c>
      <c r="AE24" s="40">
        <v>44296</v>
      </c>
      <c r="AF24" s="40">
        <v>52021</v>
      </c>
      <c r="AG24" s="40">
        <v>56010</v>
      </c>
      <c r="AH24" s="40">
        <v>52680</v>
      </c>
      <c r="AI24" s="40">
        <v>51389</v>
      </c>
    </row>
    <row r="25" spans="1:36" ht="15" customHeight="1" x14ac:dyDescent="0.25">
      <c r="A25" s="121" t="s">
        <v>28</v>
      </c>
      <c r="B25" s="41">
        <f t="shared" ref="B25:H25" si="6">SUM(B16:B24)</f>
        <v>178305</v>
      </c>
      <c r="C25" s="41">
        <f t="shared" si="6"/>
        <v>184396</v>
      </c>
      <c r="D25" s="41">
        <f t="shared" si="6"/>
        <v>203605</v>
      </c>
      <c r="E25" s="41">
        <f t="shared" si="6"/>
        <v>208677</v>
      </c>
      <c r="F25" s="41">
        <f t="shared" si="6"/>
        <v>468602</v>
      </c>
      <c r="G25" s="41">
        <f t="shared" si="6"/>
        <v>521573</v>
      </c>
      <c r="H25" s="41">
        <f t="shared" si="6"/>
        <v>538252</v>
      </c>
      <c r="I25" s="41">
        <v>547954</v>
      </c>
      <c r="J25" s="41">
        <f t="shared" ref="J25:AC25" si="7">SUM(J16:J24)</f>
        <v>539533</v>
      </c>
      <c r="K25" s="41">
        <f t="shared" si="7"/>
        <v>533113</v>
      </c>
      <c r="L25" s="41">
        <f t="shared" si="7"/>
        <v>523240</v>
      </c>
      <c r="M25" s="41">
        <f t="shared" si="7"/>
        <v>604568</v>
      </c>
      <c r="N25" s="41">
        <f t="shared" si="7"/>
        <v>663284</v>
      </c>
      <c r="O25" s="41">
        <f t="shared" si="7"/>
        <v>873606</v>
      </c>
      <c r="P25" s="41">
        <f t="shared" si="7"/>
        <v>859541</v>
      </c>
      <c r="Q25" s="41">
        <f t="shared" si="7"/>
        <v>842624</v>
      </c>
      <c r="R25" s="41">
        <f t="shared" si="7"/>
        <v>789923</v>
      </c>
      <c r="S25" s="41">
        <f t="shared" si="7"/>
        <v>766717</v>
      </c>
      <c r="T25" s="41">
        <f t="shared" si="7"/>
        <v>804996</v>
      </c>
      <c r="U25" s="41">
        <f t="shared" si="7"/>
        <v>792218</v>
      </c>
      <c r="V25" s="41">
        <f t="shared" si="7"/>
        <v>788860</v>
      </c>
      <c r="W25" s="41">
        <f t="shared" si="7"/>
        <v>723143</v>
      </c>
      <c r="X25" s="41">
        <f t="shared" si="7"/>
        <v>753985</v>
      </c>
      <c r="Y25" s="41">
        <f t="shared" si="7"/>
        <v>718556</v>
      </c>
      <c r="Z25" s="41">
        <f t="shared" si="7"/>
        <v>719423</v>
      </c>
      <c r="AA25" s="41">
        <f t="shared" si="7"/>
        <v>686514</v>
      </c>
      <c r="AB25" s="41">
        <f t="shared" si="7"/>
        <v>679919</v>
      </c>
      <c r="AC25" s="41">
        <f t="shared" si="7"/>
        <v>1077549</v>
      </c>
      <c r="AD25" s="41">
        <f>SUM(AD16:AD24)</f>
        <v>1087898</v>
      </c>
      <c r="AE25" s="41">
        <f t="shared" ref="AE25:AG25" si="8">SUM(AE16:AE24)</f>
        <v>1066338</v>
      </c>
      <c r="AF25" s="41">
        <f t="shared" si="8"/>
        <v>1069766</v>
      </c>
      <c r="AG25" s="41">
        <f t="shared" si="8"/>
        <v>1065700</v>
      </c>
      <c r="AH25" s="41">
        <f>SUM(AH16:AH24)</f>
        <v>1079357</v>
      </c>
      <c r="AI25" s="41">
        <f t="shared" ref="AI25" si="9">SUM(AI16:AI24)</f>
        <v>1047813</v>
      </c>
    </row>
    <row r="26" spans="1:36" ht="15" customHeight="1" thickBot="1" x14ac:dyDescent="0.3">
      <c r="A26" s="122" t="s">
        <v>29</v>
      </c>
      <c r="B26" s="32">
        <f t="shared" ref="B26:H26" si="10">SUM(B15,B25)</f>
        <v>841719</v>
      </c>
      <c r="C26" s="32">
        <f t="shared" si="10"/>
        <v>893713.54063881142</v>
      </c>
      <c r="D26" s="32">
        <f t="shared" si="10"/>
        <v>915416.54063881142</v>
      </c>
      <c r="E26" s="32">
        <f t="shared" si="10"/>
        <v>953965.54063881142</v>
      </c>
      <c r="F26" s="32">
        <f t="shared" si="10"/>
        <v>1211186.5406388114</v>
      </c>
      <c r="G26" s="32">
        <f t="shared" si="10"/>
        <v>1237389</v>
      </c>
      <c r="H26" s="32">
        <f t="shared" si="10"/>
        <v>1298145</v>
      </c>
      <c r="I26" s="32">
        <v>1358194</v>
      </c>
      <c r="J26" s="32">
        <f t="shared" ref="J26:AC26" si="11">SUM(J15,J25)</f>
        <v>1531300</v>
      </c>
      <c r="K26" s="32">
        <f t="shared" si="11"/>
        <v>1499360</v>
      </c>
      <c r="L26" s="32">
        <f t="shared" si="11"/>
        <v>1456542</v>
      </c>
      <c r="M26" s="32">
        <f t="shared" si="11"/>
        <v>1515943</v>
      </c>
      <c r="N26" s="32">
        <f t="shared" si="11"/>
        <v>1597135</v>
      </c>
      <c r="O26" s="32">
        <f t="shared" si="11"/>
        <v>1745916</v>
      </c>
      <c r="P26" s="32">
        <f t="shared" si="11"/>
        <v>1749569</v>
      </c>
      <c r="Q26" s="32">
        <f t="shared" si="11"/>
        <v>1701888</v>
      </c>
      <c r="R26" s="32">
        <f t="shared" si="11"/>
        <v>1790384</v>
      </c>
      <c r="S26" s="32">
        <f t="shared" si="11"/>
        <v>1675889</v>
      </c>
      <c r="T26" s="32">
        <f t="shared" si="11"/>
        <v>1804402</v>
      </c>
      <c r="U26" s="32">
        <f t="shared" si="11"/>
        <v>1843368</v>
      </c>
      <c r="V26" s="32">
        <f t="shared" si="11"/>
        <v>1853410</v>
      </c>
      <c r="W26" s="32">
        <f t="shared" si="11"/>
        <v>1782635</v>
      </c>
      <c r="X26" s="32">
        <f t="shared" si="11"/>
        <v>1842442</v>
      </c>
      <c r="Y26" s="32">
        <f t="shared" si="11"/>
        <v>1814493</v>
      </c>
      <c r="Z26" s="32">
        <f t="shared" si="11"/>
        <v>1983591</v>
      </c>
      <c r="AA26" s="32">
        <f t="shared" si="11"/>
        <v>1915340</v>
      </c>
      <c r="AB26" s="32">
        <f t="shared" si="11"/>
        <v>1870844</v>
      </c>
      <c r="AC26" s="32">
        <f t="shared" si="11"/>
        <v>2122570</v>
      </c>
      <c r="AD26" s="32">
        <f>SUM(AD15,AD25)</f>
        <v>2348894</v>
      </c>
      <c r="AE26" s="32">
        <f t="shared" ref="AE26" si="12">SUM(AE15,AE25)</f>
        <v>2191487</v>
      </c>
      <c r="AF26" s="32">
        <f>SUM(AF15,AF25)</f>
        <v>2128367</v>
      </c>
      <c r="AG26" s="32">
        <f t="shared" ref="AG26" si="13">SUM(AG15,AG25)</f>
        <v>2140643</v>
      </c>
      <c r="AH26" s="32">
        <f>SUM(AH15,AH25)</f>
        <v>2431919</v>
      </c>
      <c r="AI26" s="32">
        <f t="shared" ref="AI26" si="14">SUM(AI15,AI25)</f>
        <v>2206250</v>
      </c>
      <c r="AJ26" s="310"/>
    </row>
    <row r="27" spans="1:36" ht="15" customHeight="1" thickTop="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row>
    <row r="28" spans="1:36" ht="15" customHeight="1" x14ac:dyDescent="0.25">
      <c r="A28" s="2" t="s">
        <v>30</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row>
    <row r="29" spans="1:36" ht="15" customHeight="1" x14ac:dyDescent="0.25">
      <c r="A29" s="2" t="s">
        <v>31</v>
      </c>
    </row>
    <row r="30" spans="1:36" ht="15" customHeight="1" x14ac:dyDescent="0.25">
      <c r="A30" s="120" t="s">
        <v>32</v>
      </c>
      <c r="B30" s="31">
        <v>246382</v>
      </c>
      <c r="C30" s="31">
        <v>241119</v>
      </c>
      <c r="D30" s="31">
        <v>240757</v>
      </c>
      <c r="E30" s="31">
        <v>253938</v>
      </c>
      <c r="F30" s="31">
        <v>365788</v>
      </c>
      <c r="G30" s="31">
        <v>295602</v>
      </c>
      <c r="H30" s="31">
        <v>351408</v>
      </c>
      <c r="I30" s="31">
        <v>350690</v>
      </c>
      <c r="J30" s="31">
        <v>417032</v>
      </c>
      <c r="K30" s="31">
        <v>359296</v>
      </c>
      <c r="L30" s="31">
        <v>321295</v>
      </c>
      <c r="M30" s="31">
        <v>332388</v>
      </c>
      <c r="N30" s="31">
        <v>425376</v>
      </c>
      <c r="O30" s="31">
        <v>345923</v>
      </c>
      <c r="P30" s="31">
        <v>332735</v>
      </c>
      <c r="Q30" s="31">
        <v>322284</v>
      </c>
      <c r="R30" s="31">
        <v>390277</v>
      </c>
      <c r="S30" s="31">
        <v>300315</v>
      </c>
      <c r="T30" s="31">
        <v>280626</v>
      </c>
      <c r="U30" s="31">
        <v>293480</v>
      </c>
      <c r="V30" s="31">
        <v>367025</v>
      </c>
      <c r="W30" s="31">
        <v>347209</v>
      </c>
      <c r="X30" s="31">
        <v>341047</v>
      </c>
      <c r="Y30" s="31">
        <v>349985</v>
      </c>
      <c r="Z30" s="31">
        <v>430245</v>
      </c>
      <c r="AA30" s="31">
        <v>374601</v>
      </c>
      <c r="AB30" s="31">
        <v>400058</v>
      </c>
      <c r="AC30" s="31">
        <v>576762</v>
      </c>
      <c r="AD30" s="31">
        <v>742918</v>
      </c>
      <c r="AE30" s="31">
        <v>602180</v>
      </c>
      <c r="AF30" s="31">
        <v>616590</v>
      </c>
      <c r="AG30" s="31">
        <v>668550</v>
      </c>
      <c r="AH30" s="31">
        <v>838522</v>
      </c>
      <c r="AI30" s="31">
        <v>629634</v>
      </c>
    </row>
    <row r="31" spans="1:36" ht="15" customHeight="1" x14ac:dyDescent="0.25">
      <c r="A31" s="120" t="s">
        <v>33</v>
      </c>
      <c r="B31" s="38">
        <v>668</v>
      </c>
      <c r="C31" s="38">
        <v>688</v>
      </c>
      <c r="D31" s="38">
        <v>283</v>
      </c>
      <c r="E31" s="38">
        <v>286</v>
      </c>
      <c r="F31" s="38">
        <v>654</v>
      </c>
      <c r="G31" s="38">
        <v>980</v>
      </c>
      <c r="H31" s="38">
        <v>1392</v>
      </c>
      <c r="I31" s="38">
        <v>1553</v>
      </c>
      <c r="J31" s="38">
        <v>1798</v>
      </c>
      <c r="K31" s="38">
        <v>836</v>
      </c>
      <c r="L31" s="38">
        <v>1811</v>
      </c>
      <c r="M31" s="38">
        <v>2411</v>
      </c>
      <c r="N31" s="38">
        <v>2640</v>
      </c>
      <c r="O31" s="38">
        <v>3215</v>
      </c>
      <c r="P31" s="38">
        <v>4156</v>
      </c>
      <c r="Q31" s="38">
        <v>4183</v>
      </c>
      <c r="R31" s="38">
        <v>6385</v>
      </c>
      <c r="S31" s="38">
        <v>6020</v>
      </c>
      <c r="T31" s="38">
        <v>4126</v>
      </c>
      <c r="U31" s="38">
        <v>960</v>
      </c>
      <c r="V31" s="38">
        <v>2250</v>
      </c>
      <c r="W31" s="38">
        <v>1773</v>
      </c>
      <c r="X31" s="38">
        <v>1945</v>
      </c>
      <c r="Y31" s="38">
        <v>2828</v>
      </c>
      <c r="Z31" s="38">
        <v>3059</v>
      </c>
      <c r="AA31" s="38">
        <v>2864</v>
      </c>
      <c r="AB31" s="38">
        <v>64731</v>
      </c>
      <c r="AC31" s="38">
        <v>60038</v>
      </c>
      <c r="AD31" s="38">
        <v>65759</v>
      </c>
      <c r="AE31" s="38">
        <v>67149</v>
      </c>
      <c r="AF31" s="38">
        <v>45403</v>
      </c>
      <c r="AG31" s="38">
        <v>1608</v>
      </c>
      <c r="AH31" s="38">
        <v>1467</v>
      </c>
      <c r="AI31" s="38">
        <v>1387</v>
      </c>
    </row>
    <row r="32" spans="1:36" ht="15" customHeight="1" x14ac:dyDescent="0.25">
      <c r="A32" s="120" t="s">
        <v>12</v>
      </c>
      <c r="B32" s="38">
        <v>15365</v>
      </c>
      <c r="C32" s="38">
        <v>13288</v>
      </c>
      <c r="D32" s="38">
        <v>9455</v>
      </c>
      <c r="E32" s="38">
        <v>7133</v>
      </c>
      <c r="F32" s="38">
        <v>14454</v>
      </c>
      <c r="G32" s="38">
        <v>14969</v>
      </c>
      <c r="H32" s="38">
        <v>11898</v>
      </c>
      <c r="I32" s="38">
        <v>16341</v>
      </c>
      <c r="J32" s="38">
        <v>9997</v>
      </c>
      <c r="K32" s="38">
        <v>10403</v>
      </c>
      <c r="L32" s="38">
        <v>9346</v>
      </c>
      <c r="M32" s="38">
        <v>2510</v>
      </c>
      <c r="N32" s="38">
        <v>7725</v>
      </c>
      <c r="O32" s="38">
        <v>5794</v>
      </c>
      <c r="P32" s="38">
        <v>7065</v>
      </c>
      <c r="Q32" s="38">
        <v>2751</v>
      </c>
      <c r="R32" s="38">
        <v>3422</v>
      </c>
      <c r="S32" s="38">
        <v>3013</v>
      </c>
      <c r="T32" s="38">
        <v>2440</v>
      </c>
      <c r="U32" s="38">
        <v>276</v>
      </c>
      <c r="V32" s="38">
        <v>2626</v>
      </c>
      <c r="W32" s="38">
        <v>1201</v>
      </c>
      <c r="X32" s="38">
        <v>3105</v>
      </c>
      <c r="Y32" s="38">
        <v>489</v>
      </c>
      <c r="Z32" s="38">
        <v>6641</v>
      </c>
      <c r="AA32" s="38">
        <v>7450</v>
      </c>
      <c r="AB32" s="38">
        <v>3791</v>
      </c>
      <c r="AC32" s="38">
        <v>5602</v>
      </c>
      <c r="AD32" s="38">
        <v>13037</v>
      </c>
      <c r="AE32" s="38">
        <v>16815</v>
      </c>
      <c r="AF32" s="38">
        <v>3743</v>
      </c>
      <c r="AG32" s="38">
        <v>1633</v>
      </c>
      <c r="AH32" s="38">
        <v>17213</v>
      </c>
      <c r="AI32" s="38">
        <v>14693</v>
      </c>
    </row>
    <row r="33" spans="1:35" ht="15" customHeight="1" x14ac:dyDescent="0.25">
      <c r="A33" s="120" t="s">
        <v>34</v>
      </c>
      <c r="B33" s="38">
        <v>7156</v>
      </c>
      <c r="C33" s="38">
        <v>6202</v>
      </c>
      <c r="D33" s="38">
        <v>6011</v>
      </c>
      <c r="E33" s="38">
        <v>6403</v>
      </c>
      <c r="F33" s="38">
        <v>7969</v>
      </c>
      <c r="G33" s="38">
        <f>9122+75276</f>
        <v>84398</v>
      </c>
      <c r="H33" s="38">
        <f>5706+145</f>
        <v>5851</v>
      </c>
      <c r="I33" s="38">
        <v>7943</v>
      </c>
      <c r="J33" s="38">
        <v>1499</v>
      </c>
      <c r="K33" s="38">
        <v>1747</v>
      </c>
      <c r="L33" s="38">
        <v>1055</v>
      </c>
      <c r="M33" s="38">
        <v>2498</v>
      </c>
      <c r="N33" s="38">
        <v>1018</v>
      </c>
      <c r="O33" s="38">
        <v>1599</v>
      </c>
      <c r="P33" s="38">
        <v>2030</v>
      </c>
      <c r="Q33" s="38">
        <v>2827</v>
      </c>
      <c r="R33" s="38">
        <v>3636</v>
      </c>
      <c r="S33" s="38">
        <v>2303</v>
      </c>
      <c r="T33" s="38">
        <v>159381</v>
      </c>
      <c r="U33" s="38">
        <v>167033</v>
      </c>
      <c r="V33" s="38">
        <v>2889</v>
      </c>
      <c r="W33" s="38">
        <v>2114</v>
      </c>
      <c r="X33" s="38">
        <v>3219</v>
      </c>
      <c r="Y33" s="38">
        <v>489</v>
      </c>
      <c r="Z33" s="38">
        <v>642</v>
      </c>
      <c r="AA33" s="38">
        <v>3481</v>
      </c>
      <c r="AB33" s="38">
        <v>255</v>
      </c>
      <c r="AC33" s="38">
        <v>0</v>
      </c>
      <c r="AD33" s="38">
        <v>219</v>
      </c>
      <c r="AE33" s="38">
        <v>4208</v>
      </c>
      <c r="AF33" s="38">
        <v>614</v>
      </c>
      <c r="AG33" s="38">
        <v>672</v>
      </c>
      <c r="AH33" s="38">
        <v>3389</v>
      </c>
      <c r="AI33" s="38">
        <v>4946</v>
      </c>
    </row>
    <row r="34" spans="1:35" ht="15" customHeight="1" x14ac:dyDescent="0.25">
      <c r="A34" s="120" t="s">
        <v>35</v>
      </c>
      <c r="B34" s="38"/>
      <c r="C34" s="38"/>
      <c r="D34" s="38"/>
      <c r="E34" s="38"/>
      <c r="F34" s="38"/>
      <c r="G34" s="38"/>
      <c r="H34" s="38"/>
      <c r="I34" s="38"/>
      <c r="J34" s="38"/>
      <c r="K34" s="38"/>
      <c r="L34" s="38"/>
      <c r="M34" s="38"/>
      <c r="N34" s="38"/>
      <c r="O34" s="38">
        <v>49459</v>
      </c>
      <c r="P34" s="38">
        <v>47964</v>
      </c>
      <c r="Q34" s="38">
        <v>49367</v>
      </c>
      <c r="R34" s="38">
        <v>45853</v>
      </c>
      <c r="S34" s="38">
        <v>47288</v>
      </c>
      <c r="T34" s="38">
        <v>51414</v>
      </c>
      <c r="U34" s="38">
        <v>48691</v>
      </c>
      <c r="V34" s="38">
        <v>48388</v>
      </c>
      <c r="W34" s="38">
        <v>44501</v>
      </c>
      <c r="X34" s="38">
        <v>37243</v>
      </c>
      <c r="Y34" s="38">
        <v>31309</v>
      </c>
      <c r="Z34" s="38">
        <v>34066</v>
      </c>
      <c r="AA34" s="38">
        <v>31373</v>
      </c>
      <c r="AB34" s="38">
        <v>32110</v>
      </c>
      <c r="AC34" s="38">
        <v>30469</v>
      </c>
      <c r="AD34" s="38">
        <v>31003</v>
      </c>
      <c r="AE34" s="38">
        <v>33287</v>
      </c>
      <c r="AF34" s="38">
        <v>32180</v>
      </c>
      <c r="AG34" s="38">
        <v>35296</v>
      </c>
      <c r="AH34" s="38">
        <v>35398</v>
      </c>
      <c r="AI34" s="38">
        <v>31848</v>
      </c>
    </row>
    <row r="35" spans="1:35" ht="15" customHeight="1" x14ac:dyDescent="0.25">
      <c r="A35" s="120" t="s">
        <v>13</v>
      </c>
      <c r="B35" s="38">
        <v>30463</v>
      </c>
      <c r="C35" s="38">
        <v>33861</v>
      </c>
      <c r="D35" s="38">
        <v>33880</v>
      </c>
      <c r="E35" s="38">
        <v>35844</v>
      </c>
      <c r="F35" s="38">
        <v>44831</v>
      </c>
      <c r="G35" s="38">
        <f>41414</f>
        <v>41414</v>
      </c>
      <c r="H35" s="38">
        <v>45606</v>
      </c>
      <c r="I35" s="38">
        <v>42713</v>
      </c>
      <c r="J35" s="38">
        <v>58783</v>
      </c>
      <c r="K35" s="38">
        <v>52342</v>
      </c>
      <c r="L35" s="38">
        <v>46947</v>
      </c>
      <c r="M35" s="38">
        <v>45233</v>
      </c>
      <c r="N35" s="38">
        <v>55592</v>
      </c>
      <c r="O35" s="38">
        <v>58192</v>
      </c>
      <c r="P35" s="38">
        <v>56929</v>
      </c>
      <c r="Q35" s="38">
        <v>48313</v>
      </c>
      <c r="R35" s="38">
        <v>50099</v>
      </c>
      <c r="S35" s="38">
        <v>49159</v>
      </c>
      <c r="T35" s="38">
        <v>44085</v>
      </c>
      <c r="U35" s="38">
        <v>45998</v>
      </c>
      <c r="V35" s="38">
        <v>58491</v>
      </c>
      <c r="W35" s="38">
        <v>56192</v>
      </c>
      <c r="X35" s="38">
        <v>54697</v>
      </c>
      <c r="Y35" s="38">
        <v>53249</v>
      </c>
      <c r="Z35" s="38">
        <v>60236</v>
      </c>
      <c r="AA35" s="38">
        <v>58780</v>
      </c>
      <c r="AB35" s="38">
        <v>50589</v>
      </c>
      <c r="AC35" s="38">
        <v>56894</v>
      </c>
      <c r="AD35" s="38">
        <v>58031</v>
      </c>
      <c r="AE35" s="38">
        <v>60294</v>
      </c>
      <c r="AF35" s="38">
        <v>60574</v>
      </c>
      <c r="AG35" s="38">
        <v>59584</v>
      </c>
      <c r="AH35" s="38">
        <v>66659</v>
      </c>
      <c r="AI35" s="38">
        <v>92768</v>
      </c>
    </row>
    <row r="36" spans="1:35" ht="15" customHeight="1" x14ac:dyDescent="0.25">
      <c r="A36" s="120" t="s">
        <v>36</v>
      </c>
      <c r="B36" s="38">
        <v>42275</v>
      </c>
      <c r="C36" s="38">
        <v>41807</v>
      </c>
      <c r="D36" s="38">
        <v>46372</v>
      </c>
      <c r="E36" s="38">
        <v>42317</v>
      </c>
      <c r="F36" s="38">
        <v>55874</v>
      </c>
      <c r="G36" s="38">
        <v>53862</v>
      </c>
      <c r="H36" s="38">
        <v>64467</v>
      </c>
      <c r="I36" s="38">
        <v>59661</v>
      </c>
      <c r="J36" s="38">
        <v>66219</v>
      </c>
      <c r="K36" s="38">
        <v>65646</v>
      </c>
      <c r="L36" s="38">
        <v>65832</v>
      </c>
      <c r="M36" s="38">
        <v>53709</v>
      </c>
      <c r="N36" s="38">
        <v>65878</v>
      </c>
      <c r="O36" s="38">
        <v>63459</v>
      </c>
      <c r="P36" s="38">
        <v>68702</v>
      </c>
      <c r="Q36" s="38">
        <v>59824</v>
      </c>
      <c r="R36" s="38">
        <v>74781</v>
      </c>
      <c r="S36" s="38">
        <v>73251</v>
      </c>
      <c r="T36" s="38">
        <v>61963</v>
      </c>
      <c r="U36" s="38">
        <v>68709</v>
      </c>
      <c r="V36" s="38">
        <v>85272</v>
      </c>
      <c r="W36" s="38">
        <v>71450</v>
      </c>
      <c r="X36" s="38">
        <v>74491</v>
      </c>
      <c r="Y36" s="38">
        <v>72679</v>
      </c>
      <c r="Z36" s="38">
        <v>98136</v>
      </c>
      <c r="AA36" s="38">
        <v>93817</v>
      </c>
      <c r="AB36" s="38">
        <v>70435</v>
      </c>
      <c r="AC36" s="38">
        <v>72897</v>
      </c>
      <c r="AD36" s="38">
        <v>85569</v>
      </c>
      <c r="AE36" s="38">
        <v>99616</v>
      </c>
      <c r="AF36" s="38">
        <v>100465</v>
      </c>
      <c r="AG36" s="38">
        <v>100483</v>
      </c>
      <c r="AH36" s="38">
        <v>113287</v>
      </c>
      <c r="AI36" s="38">
        <v>123293</v>
      </c>
    </row>
    <row r="37" spans="1:35" ht="15" customHeight="1" x14ac:dyDescent="0.25">
      <c r="A37" s="120" t="s">
        <v>37</v>
      </c>
      <c r="B37" s="40">
        <v>15531</v>
      </c>
      <c r="C37" s="40">
        <v>19413</v>
      </c>
      <c r="D37" s="40">
        <v>21531</v>
      </c>
      <c r="E37" s="40">
        <v>18383</v>
      </c>
      <c r="F37" s="40">
        <v>30221</v>
      </c>
      <c r="G37" s="40">
        <v>35032</v>
      </c>
      <c r="H37" s="40">
        <f>38051-145</f>
        <v>37906</v>
      </c>
      <c r="I37" s="40">
        <v>26802</v>
      </c>
      <c r="J37" s="40">
        <v>65677</v>
      </c>
      <c r="K37" s="40">
        <f>29847+4</f>
        <v>29851</v>
      </c>
      <c r="L37" s="40">
        <v>30803</v>
      </c>
      <c r="M37" s="40">
        <v>59463</v>
      </c>
      <c r="N37" s="40">
        <v>47115</v>
      </c>
      <c r="O37" s="40">
        <v>37256</v>
      </c>
      <c r="P37" s="40">
        <v>33986</v>
      </c>
      <c r="Q37" s="40">
        <v>38868</v>
      </c>
      <c r="R37" s="40">
        <v>35886</v>
      </c>
      <c r="S37" s="40">
        <v>35709</v>
      </c>
      <c r="T37" s="40">
        <v>38982</v>
      </c>
      <c r="U37" s="40">
        <v>43299</v>
      </c>
      <c r="V37" s="40">
        <v>33390</v>
      </c>
      <c r="W37" s="40">
        <v>32693</v>
      </c>
      <c r="X37" s="40">
        <v>40988</v>
      </c>
      <c r="Y37" s="40">
        <v>38818</v>
      </c>
      <c r="Z37" s="40">
        <v>39523</v>
      </c>
      <c r="AA37" s="40">
        <v>40149</v>
      </c>
      <c r="AB37" s="40">
        <v>44390</v>
      </c>
      <c r="AC37" s="40">
        <v>60810</v>
      </c>
      <c r="AD37" s="40">
        <v>83457</v>
      </c>
      <c r="AE37" s="40">
        <v>109367</v>
      </c>
      <c r="AF37" s="40">
        <v>89447</v>
      </c>
      <c r="AG37" s="40">
        <v>93115</v>
      </c>
      <c r="AH37" s="40">
        <v>104552</v>
      </c>
      <c r="AI37" s="40">
        <v>96410</v>
      </c>
    </row>
    <row r="38" spans="1:35" ht="15" customHeight="1" x14ac:dyDescent="0.25">
      <c r="A38" s="123" t="s">
        <v>38</v>
      </c>
      <c r="B38" s="41">
        <f t="shared" ref="B38:J38" si="15">SUM(B30:B37)</f>
        <v>357840</v>
      </c>
      <c r="C38" s="41">
        <f t="shared" si="15"/>
        <v>356378</v>
      </c>
      <c r="D38" s="41">
        <f t="shared" si="15"/>
        <v>358289</v>
      </c>
      <c r="E38" s="41">
        <f t="shared" si="15"/>
        <v>364304</v>
      </c>
      <c r="F38" s="41">
        <f t="shared" si="15"/>
        <v>519791</v>
      </c>
      <c r="G38" s="41">
        <f t="shared" si="15"/>
        <v>526257</v>
      </c>
      <c r="H38" s="41">
        <f t="shared" si="15"/>
        <v>518528</v>
      </c>
      <c r="I38" s="41">
        <f t="shared" si="15"/>
        <v>505703</v>
      </c>
      <c r="J38" s="41">
        <f t="shared" si="15"/>
        <v>621005</v>
      </c>
      <c r="K38" s="41">
        <f>SUM(K30:K37)</f>
        <v>520121</v>
      </c>
      <c r="L38" s="41">
        <f>SUM(L30:L37)</f>
        <v>477089</v>
      </c>
      <c r="M38" s="41">
        <f>SUM(M30:M37)</f>
        <v>498212</v>
      </c>
      <c r="N38" s="41">
        <f t="shared" ref="N38" si="16">SUM(N30:N37)</f>
        <v>605344</v>
      </c>
      <c r="O38" s="41">
        <f>SUM(O30:O37)</f>
        <v>564897</v>
      </c>
      <c r="P38" s="41">
        <f>SUM(P30:P37)</f>
        <v>553567</v>
      </c>
      <c r="Q38" s="41">
        <f>SUM(Q30:Q37)</f>
        <v>528417</v>
      </c>
      <c r="R38" s="41">
        <v>610339</v>
      </c>
      <c r="S38" s="41">
        <f t="shared" ref="S38:X38" si="17">SUM(S30:S37)</f>
        <v>517058</v>
      </c>
      <c r="T38" s="41">
        <f t="shared" si="17"/>
        <v>643017</v>
      </c>
      <c r="U38" s="41">
        <f t="shared" si="17"/>
        <v>668446</v>
      </c>
      <c r="V38" s="41">
        <f t="shared" si="17"/>
        <v>600331</v>
      </c>
      <c r="W38" s="41">
        <f t="shared" si="17"/>
        <v>557133</v>
      </c>
      <c r="X38" s="41">
        <f t="shared" si="17"/>
        <v>556735</v>
      </c>
      <c r="Y38" s="41">
        <f t="shared" ref="Y38:Z38" si="18">SUM(Y30:Y37)</f>
        <v>549846</v>
      </c>
      <c r="Z38" s="41">
        <f t="shared" si="18"/>
        <v>672548</v>
      </c>
      <c r="AA38" s="41">
        <f>SUM(AA30:AA37)</f>
        <v>612515</v>
      </c>
      <c r="AB38" s="41">
        <f>SUM(AB30:AB37)</f>
        <v>666359</v>
      </c>
      <c r="AC38" s="41">
        <f>SUM(AC30:AC37)</f>
        <v>863472</v>
      </c>
      <c r="AD38" s="41">
        <f t="shared" ref="AD38" si="19">SUM(AD30:AD37)</f>
        <v>1079993</v>
      </c>
      <c r="AE38" s="41">
        <f>SUM(AE30:AE37)</f>
        <v>992916</v>
      </c>
      <c r="AF38" s="41">
        <f>SUM(AF30:AF37)</f>
        <v>949016</v>
      </c>
      <c r="AG38" s="41">
        <f>SUM(AG30:AG37)</f>
        <v>960941</v>
      </c>
      <c r="AH38" s="41">
        <f t="shared" ref="AH38" si="20">SUM(AH30:AH37)</f>
        <v>1180487</v>
      </c>
      <c r="AI38" s="41">
        <f>SUM(AI30:AI37)</f>
        <v>994979</v>
      </c>
    </row>
    <row r="39" spans="1:35" ht="15" customHeight="1" x14ac:dyDescent="0.25">
      <c r="A39" s="2" t="s">
        <v>39</v>
      </c>
      <c r="B39" s="59">
        <v>139</v>
      </c>
      <c r="C39" s="59">
        <v>410</v>
      </c>
      <c r="D39" s="59">
        <v>518</v>
      </c>
      <c r="E39" s="59">
        <v>752</v>
      </c>
      <c r="F39" s="59">
        <v>686</v>
      </c>
      <c r="G39" s="59">
        <v>28900</v>
      </c>
      <c r="H39" s="59">
        <v>28088</v>
      </c>
      <c r="I39" s="59">
        <v>28719</v>
      </c>
      <c r="J39" s="59">
        <v>2497</v>
      </c>
      <c r="K39" s="59">
        <v>2552</v>
      </c>
      <c r="L39" s="59">
        <v>3251</v>
      </c>
      <c r="M39" s="59">
        <v>6438</v>
      </c>
      <c r="N39" s="59">
        <v>10770</v>
      </c>
      <c r="O39" s="59">
        <v>8421</v>
      </c>
      <c r="P39" s="59">
        <v>8489</v>
      </c>
      <c r="Q39" s="59">
        <v>8208</v>
      </c>
      <c r="R39" s="59">
        <v>9272</v>
      </c>
      <c r="S39" s="59">
        <v>7922</v>
      </c>
      <c r="T39" s="59">
        <v>8079</v>
      </c>
      <c r="U39" s="59">
        <v>8439</v>
      </c>
      <c r="V39" s="59">
        <v>5297</v>
      </c>
      <c r="W39" s="59">
        <v>4066</v>
      </c>
      <c r="X39" s="59">
        <v>4176</v>
      </c>
      <c r="Y39" s="59">
        <v>4138</v>
      </c>
      <c r="Z39" s="59">
        <v>3053</v>
      </c>
      <c r="AA39" s="59">
        <v>2942</v>
      </c>
      <c r="AB39" s="59">
        <v>2907</v>
      </c>
      <c r="AC39" s="59">
        <v>2842</v>
      </c>
      <c r="AD39" s="59">
        <v>3463</v>
      </c>
      <c r="AE39" s="59">
        <v>3877</v>
      </c>
      <c r="AF39" s="59">
        <v>3537</v>
      </c>
      <c r="AG39" s="59">
        <v>3427</v>
      </c>
      <c r="AH39" s="59">
        <v>1083</v>
      </c>
      <c r="AI39" s="59">
        <v>3167</v>
      </c>
    </row>
    <row r="40" spans="1:35" ht="15" customHeight="1" x14ac:dyDescent="0.25">
      <c r="A40" s="2" t="s">
        <v>40</v>
      </c>
      <c r="B40" s="38">
        <v>1445</v>
      </c>
      <c r="C40" s="38">
        <v>1900</v>
      </c>
      <c r="D40" s="38">
        <v>1996</v>
      </c>
      <c r="E40" s="38">
        <v>2262</v>
      </c>
      <c r="F40" s="38">
        <v>3221</v>
      </c>
      <c r="G40" s="38">
        <v>3276</v>
      </c>
      <c r="H40" s="38">
        <v>3405</v>
      </c>
      <c r="I40" s="38">
        <v>3690</v>
      </c>
      <c r="J40" s="38">
        <v>5149</v>
      </c>
      <c r="K40" s="38">
        <v>5748</v>
      </c>
      <c r="L40" s="38">
        <v>5472</v>
      </c>
      <c r="M40" s="38">
        <v>5942</v>
      </c>
      <c r="N40" s="38">
        <v>5537</v>
      </c>
      <c r="O40" s="38">
        <v>6893</v>
      </c>
      <c r="P40" s="38">
        <v>8002</v>
      </c>
      <c r="Q40" s="38">
        <v>8740</v>
      </c>
      <c r="R40" s="38">
        <v>8485</v>
      </c>
      <c r="S40" s="38">
        <v>7111</v>
      </c>
      <c r="T40" s="38">
        <v>9215</v>
      </c>
      <c r="U40" s="38">
        <v>10634</v>
      </c>
      <c r="V40" s="38">
        <v>6167</v>
      </c>
      <c r="W40" s="38">
        <v>5621</v>
      </c>
      <c r="X40" s="38">
        <v>6014</v>
      </c>
      <c r="Y40" s="38">
        <v>6167</v>
      </c>
      <c r="Z40" s="38">
        <v>5531</v>
      </c>
      <c r="AA40" s="38">
        <v>4638</v>
      </c>
      <c r="AB40" s="38">
        <v>3213</v>
      </c>
      <c r="AC40" s="38">
        <v>2836</v>
      </c>
      <c r="AD40" s="38">
        <v>3708</v>
      </c>
      <c r="AE40" s="38">
        <v>4138</v>
      </c>
      <c r="AF40" s="38">
        <v>4358</v>
      </c>
      <c r="AG40" s="38">
        <v>4034</v>
      </c>
      <c r="AH40" s="38">
        <v>4123</v>
      </c>
      <c r="AI40" s="38">
        <v>4357</v>
      </c>
    </row>
    <row r="41" spans="1:35" ht="15" customHeight="1" x14ac:dyDescent="0.25">
      <c r="A41" s="2" t="s">
        <v>41</v>
      </c>
      <c r="B41" s="38">
        <v>3272</v>
      </c>
      <c r="C41" s="38">
        <v>3201</v>
      </c>
      <c r="D41" s="38">
        <v>2907</v>
      </c>
      <c r="E41" s="38">
        <v>2933</v>
      </c>
      <c r="F41" s="38">
        <v>77611</v>
      </c>
      <c r="G41" s="38">
        <f>77896-75276</f>
        <v>2620</v>
      </c>
      <c r="H41" s="38">
        <v>2621</v>
      </c>
      <c r="I41" s="38">
        <v>2525</v>
      </c>
      <c r="J41" s="38">
        <v>2158</v>
      </c>
      <c r="K41" s="38">
        <v>2022</v>
      </c>
      <c r="L41" s="38">
        <v>1758</v>
      </c>
      <c r="M41" s="38">
        <v>2766</v>
      </c>
      <c r="N41" s="38">
        <v>2490</v>
      </c>
      <c r="O41" s="38">
        <v>2283</v>
      </c>
      <c r="P41" s="38">
        <v>2051</v>
      </c>
      <c r="Q41" s="38">
        <v>937</v>
      </c>
      <c r="R41" s="38">
        <v>769</v>
      </c>
      <c r="S41" s="38">
        <v>555</v>
      </c>
      <c r="T41" s="38">
        <v>44</v>
      </c>
      <c r="U41" s="38">
        <v>44</v>
      </c>
      <c r="V41" s="38">
        <v>386</v>
      </c>
      <c r="W41" s="38">
        <v>371</v>
      </c>
      <c r="X41" s="38">
        <v>375</v>
      </c>
      <c r="Y41" s="38">
        <v>367</v>
      </c>
      <c r="Z41" s="38">
        <v>360</v>
      </c>
      <c r="AA41" s="38">
        <v>354</v>
      </c>
      <c r="AB41" s="38">
        <v>334</v>
      </c>
      <c r="AC41" s="38">
        <v>270</v>
      </c>
      <c r="AD41" s="38">
        <v>74</v>
      </c>
      <c r="AE41" s="38">
        <v>76</v>
      </c>
      <c r="AF41" s="38">
        <v>75</v>
      </c>
      <c r="AG41" s="38">
        <v>74</v>
      </c>
      <c r="AH41" s="38">
        <v>77</v>
      </c>
      <c r="AI41" s="38">
        <v>76</v>
      </c>
    </row>
    <row r="42" spans="1:35" ht="15" customHeight="1" x14ac:dyDescent="0.25">
      <c r="A42" s="2" t="s">
        <v>42</v>
      </c>
      <c r="B42" s="38"/>
      <c r="C42" s="38"/>
      <c r="D42" s="38"/>
      <c r="E42" s="38"/>
      <c r="F42" s="38"/>
      <c r="G42" s="38"/>
      <c r="H42" s="38"/>
      <c r="I42" s="38"/>
      <c r="J42" s="38"/>
      <c r="K42" s="38"/>
      <c r="L42" s="38"/>
      <c r="M42" s="38"/>
      <c r="N42" s="38"/>
      <c r="O42" s="38">
        <v>166920</v>
      </c>
      <c r="P42" s="38">
        <v>148170</v>
      </c>
      <c r="Q42" s="38">
        <v>135841</v>
      </c>
      <c r="R42" s="38">
        <v>117988</v>
      </c>
      <c r="S42" s="38">
        <v>113920</v>
      </c>
      <c r="T42" s="38">
        <v>105794</v>
      </c>
      <c r="U42" s="38">
        <v>90560</v>
      </c>
      <c r="V42" s="38">
        <v>83007</v>
      </c>
      <c r="W42" s="38">
        <v>61874</v>
      </c>
      <c r="X42" s="38">
        <v>103888</v>
      </c>
      <c r="Y42" s="38">
        <v>92859</v>
      </c>
      <c r="Z42" s="38">
        <v>93893</v>
      </c>
      <c r="AA42" s="38">
        <v>84692</v>
      </c>
      <c r="AB42" s="38">
        <v>82984</v>
      </c>
      <c r="AC42" s="38">
        <v>77901</v>
      </c>
      <c r="AD42" s="38">
        <v>77536</v>
      </c>
      <c r="AE42" s="38">
        <v>80762</v>
      </c>
      <c r="AF42" s="38">
        <v>74722</v>
      </c>
      <c r="AG42" s="38">
        <v>83004</v>
      </c>
      <c r="AH42" s="38">
        <v>83051</v>
      </c>
      <c r="AI42" s="38">
        <v>80059</v>
      </c>
    </row>
    <row r="43" spans="1:35" ht="15" customHeight="1" x14ac:dyDescent="0.25">
      <c r="A43" s="2" t="s">
        <v>43</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v>33788</v>
      </c>
      <c r="AE43" s="38">
        <v>33244</v>
      </c>
      <c r="AF43" s="38">
        <v>32625</v>
      </c>
      <c r="AG43" s="38">
        <v>32625</v>
      </c>
      <c r="AH43" s="38">
        <v>32625</v>
      </c>
      <c r="AI43" s="38">
        <v>32625</v>
      </c>
    </row>
    <row r="44" spans="1:35" ht="15" customHeight="1" x14ac:dyDescent="0.25">
      <c r="A44" s="124" t="s">
        <v>44</v>
      </c>
      <c r="B44" s="38">
        <v>0</v>
      </c>
      <c r="C44" s="38">
        <v>0</v>
      </c>
      <c r="D44" s="38">
        <v>0</v>
      </c>
      <c r="E44" s="38">
        <v>0</v>
      </c>
      <c r="F44" s="38">
        <v>0</v>
      </c>
      <c r="G44" s="38">
        <v>4697</v>
      </c>
      <c r="H44" s="38">
        <v>2824</v>
      </c>
      <c r="I44" s="38">
        <v>4290</v>
      </c>
      <c r="J44" s="38">
        <f>2793</f>
        <v>2793</v>
      </c>
      <c r="K44" s="38">
        <v>5246</v>
      </c>
      <c r="L44" s="38">
        <v>4104</v>
      </c>
      <c r="M44" s="38">
        <v>3669</v>
      </c>
      <c r="N44" s="38">
        <v>5103</v>
      </c>
      <c r="O44" s="38">
        <v>4706</v>
      </c>
      <c r="P44" s="38">
        <v>4327</v>
      </c>
      <c r="Q44" s="38">
        <v>5340</v>
      </c>
      <c r="R44" s="38">
        <v>5543</v>
      </c>
      <c r="S44" s="38">
        <v>2715</v>
      </c>
      <c r="T44" s="38">
        <v>3256</v>
      </c>
      <c r="U44" s="38">
        <v>3333</v>
      </c>
      <c r="V44" s="38">
        <v>5535</v>
      </c>
      <c r="W44" s="38">
        <v>9807</v>
      </c>
      <c r="X44" s="38">
        <v>13185</v>
      </c>
      <c r="Y44" s="38">
        <v>9864</v>
      </c>
      <c r="Z44" s="38">
        <v>9886</v>
      </c>
      <c r="AA44" s="38">
        <v>7676</v>
      </c>
      <c r="AB44" s="38">
        <v>4859</v>
      </c>
      <c r="AC44" s="38">
        <v>98349</v>
      </c>
      <c r="AD44" s="38">
        <v>69226</v>
      </c>
      <c r="AE44" s="38">
        <v>26285</v>
      </c>
      <c r="AF44" s="38">
        <v>21022</v>
      </c>
      <c r="AG44" s="38">
        <v>21688</v>
      </c>
      <c r="AH44" s="38">
        <v>19082</v>
      </c>
      <c r="AI44" s="38">
        <v>18388</v>
      </c>
    </row>
    <row r="45" spans="1:35" ht="15" customHeight="1" x14ac:dyDescent="0.25">
      <c r="A45" s="125" t="s">
        <v>45</v>
      </c>
      <c r="B45" s="41">
        <f t="shared" ref="B45:E45" si="21">SUM(B39:B44)</f>
        <v>4856</v>
      </c>
      <c r="C45" s="41">
        <f t="shared" si="21"/>
        <v>5511</v>
      </c>
      <c r="D45" s="41">
        <f t="shared" si="21"/>
        <v>5421</v>
      </c>
      <c r="E45" s="41">
        <f t="shared" si="21"/>
        <v>5947</v>
      </c>
      <c r="F45" s="41">
        <f>SUM(F39:F44)</f>
        <v>81518</v>
      </c>
      <c r="G45" s="41">
        <f>SUM(G39:G44)</f>
        <v>39493</v>
      </c>
      <c r="H45" s="41">
        <f>SUM(H39:H44)</f>
        <v>36938</v>
      </c>
      <c r="I45" s="41">
        <v>39224</v>
      </c>
      <c r="J45" s="41">
        <f t="shared" ref="J45:O45" si="22">SUM(J39:J44)</f>
        <v>12597</v>
      </c>
      <c r="K45" s="41">
        <f t="shared" si="22"/>
        <v>15568</v>
      </c>
      <c r="L45" s="41">
        <f t="shared" si="22"/>
        <v>14585</v>
      </c>
      <c r="M45" s="41">
        <f t="shared" si="22"/>
        <v>18815</v>
      </c>
      <c r="N45" s="41">
        <f t="shared" si="22"/>
        <v>23900</v>
      </c>
      <c r="O45" s="41">
        <f t="shared" si="22"/>
        <v>189223</v>
      </c>
      <c r="P45" s="41">
        <f t="shared" ref="P45:S45" si="23">SUM(P39:P44)</f>
        <v>171039</v>
      </c>
      <c r="Q45" s="41">
        <f t="shared" si="23"/>
        <v>159066</v>
      </c>
      <c r="R45" s="41">
        <f t="shared" si="23"/>
        <v>142057</v>
      </c>
      <c r="S45" s="41">
        <f t="shared" si="23"/>
        <v>132223</v>
      </c>
      <c r="T45" s="41">
        <f t="shared" ref="T45:W45" si="24">SUM(T39:T44)</f>
        <v>126388</v>
      </c>
      <c r="U45" s="41">
        <f t="shared" si="24"/>
        <v>113010</v>
      </c>
      <c r="V45" s="41">
        <f t="shared" si="24"/>
        <v>100392</v>
      </c>
      <c r="W45" s="41">
        <f t="shared" si="24"/>
        <v>81739</v>
      </c>
      <c r="X45" s="41">
        <f t="shared" ref="X45:Y45" si="25">SUM(X39:X44)</f>
        <v>127638</v>
      </c>
      <c r="Y45" s="41">
        <f t="shared" si="25"/>
        <v>113395</v>
      </c>
      <c r="Z45" s="41">
        <f t="shared" ref="Z45" si="26">SUM(Z39:Z44)</f>
        <v>112723</v>
      </c>
      <c r="AA45" s="41">
        <f>SUM(AA39:AA44)</f>
        <v>100302</v>
      </c>
      <c r="AB45" s="41">
        <f>SUM(AB39:AB44)</f>
        <v>94297</v>
      </c>
      <c r="AC45" s="41">
        <f>SUM(AC39:AC44)</f>
        <v>182198</v>
      </c>
      <c r="AD45" s="41">
        <f t="shared" ref="AD45" si="27">SUM(AD39:AD44)</f>
        <v>187795</v>
      </c>
      <c r="AE45" s="41">
        <f>SUM(AE39:AE44)</f>
        <v>148382</v>
      </c>
      <c r="AF45" s="41">
        <f>SUM(AF39:AF44)</f>
        <v>136339</v>
      </c>
      <c r="AG45" s="41">
        <f>SUM(AG39:AG44)</f>
        <v>144852</v>
      </c>
      <c r="AH45" s="41">
        <f t="shared" ref="AH45" si="28">SUM(AH39:AH44)</f>
        <v>140041</v>
      </c>
      <c r="AI45" s="41">
        <f>SUM(AI39:AI44)</f>
        <v>138672</v>
      </c>
    </row>
    <row r="46" spans="1:35" ht="15" customHeight="1" x14ac:dyDescent="0.25">
      <c r="A46" s="121" t="s">
        <v>46</v>
      </c>
      <c r="B46" s="41">
        <f t="shared" ref="B46:E46" si="29">SUM(B38,B45)</f>
        <v>362696</v>
      </c>
      <c r="C46" s="41">
        <f t="shared" si="29"/>
        <v>361889</v>
      </c>
      <c r="D46" s="41">
        <f t="shared" si="29"/>
        <v>363710</v>
      </c>
      <c r="E46" s="41">
        <f t="shared" si="29"/>
        <v>370251</v>
      </c>
      <c r="F46" s="41">
        <f>SUM(F38,F45)</f>
        <v>601309</v>
      </c>
      <c r="G46" s="41">
        <f>SUM(G38,G45)</f>
        <v>565750</v>
      </c>
      <c r="H46" s="41">
        <f>SUM(H38,H45)</f>
        <v>555466</v>
      </c>
      <c r="I46" s="41">
        <v>544927</v>
      </c>
      <c r="J46" s="41">
        <f t="shared" ref="J46:O46" si="30">SUM(J38,J45)</f>
        <v>633602</v>
      </c>
      <c r="K46" s="41">
        <f t="shared" si="30"/>
        <v>535689</v>
      </c>
      <c r="L46" s="41">
        <f t="shared" si="30"/>
        <v>491674</v>
      </c>
      <c r="M46" s="41">
        <f t="shared" si="30"/>
        <v>517027</v>
      </c>
      <c r="N46" s="41">
        <f t="shared" si="30"/>
        <v>629244</v>
      </c>
      <c r="O46" s="41">
        <f t="shared" si="30"/>
        <v>754120</v>
      </c>
      <c r="P46" s="41">
        <f t="shared" ref="P46:S46" si="31">SUM(P38,P45)</f>
        <v>724606</v>
      </c>
      <c r="Q46" s="41">
        <f t="shared" si="31"/>
        <v>687483</v>
      </c>
      <c r="R46" s="41">
        <f t="shared" si="31"/>
        <v>752396</v>
      </c>
      <c r="S46" s="41">
        <f t="shared" si="31"/>
        <v>649281</v>
      </c>
      <c r="T46" s="41">
        <f t="shared" ref="T46:W46" si="32">SUM(T38,T45)</f>
        <v>769405</v>
      </c>
      <c r="U46" s="41">
        <f t="shared" si="32"/>
        <v>781456</v>
      </c>
      <c r="V46" s="41">
        <f t="shared" si="32"/>
        <v>700723</v>
      </c>
      <c r="W46" s="41">
        <f t="shared" si="32"/>
        <v>638872</v>
      </c>
      <c r="X46" s="41">
        <f t="shared" ref="X46:Y46" si="33">SUM(X38,X45)</f>
        <v>684373</v>
      </c>
      <c r="Y46" s="41">
        <f t="shared" si="33"/>
        <v>663241</v>
      </c>
      <c r="Z46" s="41">
        <f t="shared" ref="Z46" si="34">SUM(Z38,Z45)</f>
        <v>785271</v>
      </c>
      <c r="AA46" s="41">
        <f>SUM(AA38,AA45)</f>
        <v>712817</v>
      </c>
      <c r="AB46" s="41">
        <f>SUM(AB38,AB45)</f>
        <v>760656</v>
      </c>
      <c r="AC46" s="41">
        <f>SUM(AC38,AC45)</f>
        <v>1045670</v>
      </c>
      <c r="AD46" s="41">
        <f t="shared" ref="AD46" si="35">SUM(AD38,AD45)</f>
        <v>1267788</v>
      </c>
      <c r="AE46" s="41">
        <f>SUM(AE38,AE45)</f>
        <v>1141298</v>
      </c>
      <c r="AF46" s="41">
        <f>SUM(AF38,AF45)</f>
        <v>1085355</v>
      </c>
      <c r="AG46" s="41">
        <f>SUM(AG38,AG45)</f>
        <v>1105793</v>
      </c>
      <c r="AH46" s="41">
        <f t="shared" ref="AH46" si="36">SUM(AH38,AH45)</f>
        <v>1320528</v>
      </c>
      <c r="AI46" s="41">
        <f>SUM(AI38,AI45)</f>
        <v>1133651</v>
      </c>
    </row>
    <row r="47" spans="1:35" ht="15" customHeight="1" x14ac:dyDescent="0.25">
      <c r="A47" s="2" t="s">
        <v>47</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row>
    <row r="48" spans="1:35" ht="15" customHeight="1" x14ac:dyDescent="0.25">
      <c r="A48" s="2" t="s">
        <v>48</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row>
    <row r="49" spans="1:35" x14ac:dyDescent="0.25">
      <c r="A49" s="2" t="s">
        <v>49</v>
      </c>
      <c r="B49" s="38">
        <v>2052</v>
      </c>
      <c r="C49" s="38">
        <v>2063</v>
      </c>
      <c r="D49" s="38">
        <v>2082</v>
      </c>
      <c r="E49" s="38">
        <v>2087</v>
      </c>
      <c r="F49" s="38">
        <v>2093</v>
      </c>
      <c r="G49" s="38">
        <v>2112</v>
      </c>
      <c r="H49" s="38">
        <v>2128</v>
      </c>
      <c r="I49" s="38">
        <v>2137</v>
      </c>
      <c r="J49" s="38">
        <v>2152</v>
      </c>
      <c r="K49" s="38">
        <v>2157</v>
      </c>
      <c r="L49" s="38">
        <v>2177</v>
      </c>
      <c r="M49" s="38">
        <v>2182</v>
      </c>
      <c r="N49" s="38">
        <v>2201</v>
      </c>
      <c r="O49" s="38">
        <v>2157</v>
      </c>
      <c r="P49" s="38">
        <v>2157</v>
      </c>
      <c r="Q49" s="38">
        <v>2157</v>
      </c>
      <c r="R49" s="38">
        <v>2158</v>
      </c>
      <c r="S49" s="38">
        <v>2158</v>
      </c>
      <c r="T49" s="38">
        <v>2158</v>
      </c>
      <c r="U49" s="38">
        <v>2155</v>
      </c>
      <c r="V49" s="38">
        <v>2161</v>
      </c>
      <c r="W49" s="38">
        <v>2164</v>
      </c>
      <c r="X49" s="38">
        <v>2173</v>
      </c>
      <c r="Y49" s="38">
        <v>2162</v>
      </c>
      <c r="Z49" s="38">
        <v>2149</v>
      </c>
      <c r="AA49" s="38">
        <v>2150</v>
      </c>
      <c r="AB49" s="38">
        <v>2147</v>
      </c>
      <c r="AC49" s="38">
        <v>2125</v>
      </c>
      <c r="AD49" s="38">
        <v>2079</v>
      </c>
      <c r="AE49" s="38">
        <v>2081</v>
      </c>
      <c r="AF49" s="38">
        <v>2081</v>
      </c>
      <c r="AG49" s="38">
        <v>2082</v>
      </c>
      <c r="AH49" s="38">
        <v>2023</v>
      </c>
      <c r="AI49" s="38">
        <v>2024</v>
      </c>
    </row>
    <row r="50" spans="1:35" x14ac:dyDescent="0.25">
      <c r="A50" s="2" t="s">
        <v>50</v>
      </c>
      <c r="B50" s="38"/>
      <c r="C50" s="38"/>
      <c r="D50" s="38"/>
      <c r="E50" s="38"/>
      <c r="F50" s="38"/>
      <c r="G50" s="38"/>
      <c r="H50" s="38"/>
      <c r="I50" s="38"/>
      <c r="J50" s="38"/>
      <c r="K50" s="38"/>
      <c r="L50" s="38"/>
      <c r="M50" s="38"/>
      <c r="N50" s="38">
        <v>-79159</v>
      </c>
      <c r="O50" s="38">
        <v>-39079</v>
      </c>
      <c r="P50" s="38">
        <v>-26564</v>
      </c>
      <c r="Q50" s="38">
        <v>-38774</v>
      </c>
      <c r="R50" s="38">
        <v>-74900</v>
      </c>
      <c r="S50" s="38">
        <v>-79834</v>
      </c>
      <c r="T50" s="38">
        <v>-90714</v>
      </c>
      <c r="U50" s="38">
        <v>-92450</v>
      </c>
      <c r="V50" s="38">
        <v>-85570</v>
      </c>
      <c r="W50" s="38">
        <v>-87263</v>
      </c>
      <c r="X50" s="38">
        <v>-111823</v>
      </c>
      <c r="Y50" s="38">
        <v>-122390</v>
      </c>
      <c r="Z50" s="38">
        <v>-131560</v>
      </c>
      <c r="AA50" s="38">
        <v>-137330</v>
      </c>
      <c r="AB50" s="38">
        <v>-148509</v>
      </c>
      <c r="AC50" s="38">
        <f>-165529+12640</f>
        <v>-152889</v>
      </c>
      <c r="AD50" s="38">
        <v>-174293</v>
      </c>
      <c r="AE50" s="38">
        <v>-211400</v>
      </c>
      <c r="AF50" s="38">
        <v>-214046</v>
      </c>
      <c r="AG50" s="38">
        <v>-212094</v>
      </c>
      <c r="AH50" s="38">
        <v>-161788</v>
      </c>
      <c r="AI50" s="38">
        <v>-204363</v>
      </c>
    </row>
    <row r="51" spans="1:35" ht="15.6" customHeight="1" x14ac:dyDescent="0.25">
      <c r="A51" s="2" t="s">
        <v>51</v>
      </c>
      <c r="B51" s="38">
        <v>425220</v>
      </c>
      <c r="C51" s="38">
        <v>438945</v>
      </c>
      <c r="D51" s="38">
        <v>456242</v>
      </c>
      <c r="E51" s="38">
        <v>470871</v>
      </c>
      <c r="F51" s="38">
        <v>488277</v>
      </c>
      <c r="G51" s="38">
        <v>514649</v>
      </c>
      <c r="H51" s="38">
        <v>540998</v>
      </c>
      <c r="I51" s="38">
        <v>568171</v>
      </c>
      <c r="J51" s="38">
        <v>591404</v>
      </c>
      <c r="K51" s="38">
        <v>610281</v>
      </c>
      <c r="L51" s="38">
        <v>630772</v>
      </c>
      <c r="M51" s="38">
        <v>648139</v>
      </c>
      <c r="N51" s="38">
        <v>663281</v>
      </c>
      <c r="O51" s="38">
        <v>641094</v>
      </c>
      <c r="P51" s="38">
        <v>652572</v>
      </c>
      <c r="Q51" s="38">
        <v>663439</v>
      </c>
      <c r="R51" s="38">
        <v>668389</v>
      </c>
      <c r="S51" s="38">
        <v>676510</v>
      </c>
      <c r="T51" s="38">
        <v>683288</v>
      </c>
      <c r="U51" s="38">
        <v>685841</v>
      </c>
      <c r="V51" s="38">
        <v>693164</v>
      </c>
      <c r="W51" s="38">
        <v>702022</v>
      </c>
      <c r="X51" s="38">
        <v>720762</v>
      </c>
      <c r="Y51" s="38">
        <v>727613</v>
      </c>
      <c r="Z51" s="38">
        <v>731248</v>
      </c>
      <c r="AA51" s="38">
        <v>740515</v>
      </c>
      <c r="AB51" s="38">
        <v>750774</v>
      </c>
      <c r="AC51" s="38">
        <v>760666</v>
      </c>
      <c r="AD51" s="38">
        <v>734492</v>
      </c>
      <c r="AE51" s="38">
        <v>760397</v>
      </c>
      <c r="AF51" s="38">
        <v>787674</v>
      </c>
      <c r="AG51" s="38">
        <v>811381</v>
      </c>
      <c r="AH51" s="38">
        <v>769240</v>
      </c>
      <c r="AI51" s="38">
        <v>797492</v>
      </c>
    </row>
    <row r="52" spans="1:35" ht="15" customHeight="1" x14ac:dyDescent="0.25">
      <c r="A52" s="2" t="s">
        <v>52</v>
      </c>
      <c r="B52" s="38">
        <v>-69023</v>
      </c>
      <c r="C52" s="38">
        <v>-48904</v>
      </c>
      <c r="D52" s="38">
        <v>-60329</v>
      </c>
      <c r="E52" s="38">
        <v>-57902</v>
      </c>
      <c r="F52" s="38">
        <v>-88593</v>
      </c>
      <c r="G52" s="38">
        <v>-79742</v>
      </c>
      <c r="H52" s="38">
        <v>-42615</v>
      </c>
      <c r="I52" s="38">
        <v>-21386</v>
      </c>
      <c r="J52" s="38">
        <v>-12241</v>
      </c>
      <c r="K52" s="38">
        <v>12710</v>
      </c>
      <c r="L52" s="38">
        <v>-20722</v>
      </c>
      <c r="M52" s="38">
        <v>-25788</v>
      </c>
      <c r="N52" s="38">
        <v>-30522</v>
      </c>
      <c r="O52" s="38">
        <v>-41869</v>
      </c>
      <c r="P52" s="38">
        <v>-33293</v>
      </c>
      <c r="Q52" s="38">
        <v>-58382</v>
      </c>
      <c r="R52" s="38">
        <v>-40105</v>
      </c>
      <c r="S52" s="38">
        <v>-54283</v>
      </c>
      <c r="T52" s="38">
        <v>-44297</v>
      </c>
      <c r="U52" s="38">
        <v>-19658</v>
      </c>
      <c r="V52" s="38">
        <v>16028</v>
      </c>
      <c r="W52" s="38">
        <v>-17825</v>
      </c>
      <c r="X52" s="38">
        <v>-7438</v>
      </c>
      <c r="Y52" s="38">
        <v>-25349</v>
      </c>
      <c r="Z52" s="38">
        <v>-40294</v>
      </c>
      <c r="AA52" s="38">
        <v>-56501</v>
      </c>
      <c r="AB52" s="38">
        <v>-102931</v>
      </c>
      <c r="AC52" s="38">
        <v>-131651</v>
      </c>
      <c r="AD52" s="38">
        <v>-91890</v>
      </c>
      <c r="AE52" s="38">
        <v>-85415</v>
      </c>
      <c r="AF52" s="38">
        <v>-91328</v>
      </c>
      <c r="AG52" s="38">
        <v>-100482</v>
      </c>
      <c r="AH52" s="38">
        <v>-85326</v>
      </c>
      <c r="AI52" s="38">
        <v>-96763</v>
      </c>
    </row>
    <row r="53" spans="1:35" ht="15" customHeight="1" x14ac:dyDescent="0.25">
      <c r="A53" s="2" t="s">
        <v>53</v>
      </c>
      <c r="B53" s="40">
        <v>116076</v>
      </c>
      <c r="C53" s="40">
        <v>133206</v>
      </c>
      <c r="D53" s="40">
        <v>145407</v>
      </c>
      <c r="E53" s="40">
        <v>158945</v>
      </c>
      <c r="F53" s="40">
        <v>198355</v>
      </c>
      <c r="G53" s="40">
        <v>222239</v>
      </c>
      <c r="H53" s="40">
        <v>228141</v>
      </c>
      <c r="I53" s="40">
        <v>247821</v>
      </c>
      <c r="J53" s="40">
        <v>300210</v>
      </c>
      <c r="K53" s="40">
        <v>320020</v>
      </c>
      <c r="L53" s="40">
        <v>333725</v>
      </c>
      <c r="M53" s="40">
        <v>355003</v>
      </c>
      <c r="N53" s="40">
        <v>387869</v>
      </c>
      <c r="O53" s="40">
        <v>403200</v>
      </c>
      <c r="P53" s="40">
        <v>401209</v>
      </c>
      <c r="Q53" s="40">
        <v>414594</v>
      </c>
      <c r="R53" s="40">
        <v>451725</v>
      </c>
      <c r="S53" s="40">
        <v>450480</v>
      </c>
      <c r="T53" s="40">
        <v>452247</v>
      </c>
      <c r="U53" s="40">
        <v>452932</v>
      </c>
      <c r="V53" s="40">
        <v>491359</v>
      </c>
      <c r="W53" s="40">
        <v>510528</v>
      </c>
      <c r="X53" s="40">
        <v>519893</v>
      </c>
      <c r="Y53" s="40">
        <v>534320</v>
      </c>
      <c r="Z53" s="40">
        <v>601588</v>
      </c>
      <c r="AA53" s="40">
        <v>619641</v>
      </c>
      <c r="AB53" s="40">
        <v>577552</v>
      </c>
      <c r="AC53" s="40">
        <f>581858-12640</f>
        <v>569218</v>
      </c>
      <c r="AD53" s="262">
        <v>577653</v>
      </c>
      <c r="AE53" s="40">
        <v>551922</v>
      </c>
      <c r="AF53" s="40">
        <v>527857</v>
      </c>
      <c r="AG53" s="40">
        <v>504346</v>
      </c>
      <c r="AH53" s="40">
        <v>555456</v>
      </c>
      <c r="AI53" s="40">
        <v>543092</v>
      </c>
    </row>
    <row r="54" spans="1:35" ht="13.35" customHeight="1" x14ac:dyDescent="0.25">
      <c r="A54" s="121" t="s">
        <v>54</v>
      </c>
      <c r="B54" s="41">
        <f t="shared" ref="B54:E54" si="37">SUM(B49:B53)</f>
        <v>474325</v>
      </c>
      <c r="C54" s="41">
        <f t="shared" si="37"/>
        <v>525310</v>
      </c>
      <c r="D54" s="41">
        <f t="shared" si="37"/>
        <v>543402</v>
      </c>
      <c r="E54" s="41">
        <f t="shared" si="37"/>
        <v>574001</v>
      </c>
      <c r="F54" s="41">
        <f>SUM(F49:F53)</f>
        <v>600132</v>
      </c>
      <c r="G54" s="41">
        <f>SUM(G49:G53)</f>
        <v>659258</v>
      </c>
      <c r="H54" s="41">
        <f>SUM(H49:H53)</f>
        <v>728652</v>
      </c>
      <c r="I54" s="41">
        <v>796743</v>
      </c>
      <c r="J54" s="41">
        <f t="shared" ref="J54:R54" si="38">SUM(J49:J53)</f>
        <v>881525</v>
      </c>
      <c r="K54" s="41">
        <f t="shared" si="38"/>
        <v>945168</v>
      </c>
      <c r="L54" s="41">
        <f t="shared" si="38"/>
        <v>945952</v>
      </c>
      <c r="M54" s="41">
        <f t="shared" si="38"/>
        <v>979536</v>
      </c>
      <c r="N54" s="41">
        <f t="shared" si="38"/>
        <v>943670</v>
      </c>
      <c r="O54" s="41">
        <f t="shared" si="38"/>
        <v>965503</v>
      </c>
      <c r="P54" s="41">
        <f t="shared" si="38"/>
        <v>996081</v>
      </c>
      <c r="Q54" s="41">
        <f t="shared" si="38"/>
        <v>983034</v>
      </c>
      <c r="R54" s="41">
        <f t="shared" si="38"/>
        <v>1007267</v>
      </c>
      <c r="S54" s="41">
        <f t="shared" ref="S54:V54" si="39">SUM(S49:S53)</f>
        <v>995031</v>
      </c>
      <c r="T54" s="41">
        <f t="shared" si="39"/>
        <v>1002682</v>
      </c>
      <c r="U54" s="41">
        <f t="shared" si="39"/>
        <v>1028820</v>
      </c>
      <c r="V54" s="41">
        <f t="shared" si="39"/>
        <v>1117142</v>
      </c>
      <c r="W54" s="41">
        <f t="shared" ref="W54:Y54" si="40">SUM(W49:W53)</f>
        <v>1109626</v>
      </c>
      <c r="X54" s="41">
        <f t="shared" si="40"/>
        <v>1123567</v>
      </c>
      <c r="Y54" s="41">
        <f t="shared" si="40"/>
        <v>1116356</v>
      </c>
      <c r="Z54" s="41">
        <f t="shared" ref="Z54" si="41">SUM(Z49:Z53)</f>
        <v>1163131</v>
      </c>
      <c r="AA54" s="41">
        <f>SUM(AA49:AA53)</f>
        <v>1168475</v>
      </c>
      <c r="AB54" s="41">
        <f>SUM(AB49:AB53)</f>
        <v>1079033</v>
      </c>
      <c r="AC54" s="41">
        <f>SUM(AC49:AC53)</f>
        <v>1047469</v>
      </c>
      <c r="AD54" s="41">
        <f t="shared" ref="AD54" si="42">SUM(AD49:AD53)</f>
        <v>1048041</v>
      </c>
      <c r="AE54" s="41">
        <f>SUM(AE49:AE53)</f>
        <v>1017585</v>
      </c>
      <c r="AF54" s="41">
        <f>SUM(AF49:AF53)</f>
        <v>1012238</v>
      </c>
      <c r="AG54" s="41">
        <f>SUM(AG49:AG53)</f>
        <v>1005233</v>
      </c>
      <c r="AH54" s="41">
        <f t="shared" ref="AH54" si="43">SUM(AH49:AH53)</f>
        <v>1079605</v>
      </c>
      <c r="AI54" s="41">
        <f>SUM(AI49:AI53)</f>
        <v>1041482</v>
      </c>
    </row>
    <row r="55" spans="1:35" ht="15" customHeight="1" x14ac:dyDescent="0.25">
      <c r="A55" s="2" t="s">
        <v>55</v>
      </c>
      <c r="B55" s="42">
        <v>4698</v>
      </c>
      <c r="C55" s="42">
        <v>6514</v>
      </c>
      <c r="D55" s="42">
        <v>8304</v>
      </c>
      <c r="E55" s="42">
        <v>9713</v>
      </c>
      <c r="F55" s="42">
        <v>9745</v>
      </c>
      <c r="G55" s="42">
        <v>12381</v>
      </c>
      <c r="H55" s="42">
        <v>14027</v>
      </c>
      <c r="I55" s="42">
        <v>16524</v>
      </c>
      <c r="J55" s="42">
        <v>16173</v>
      </c>
      <c r="K55" s="42">
        <v>18503</v>
      </c>
      <c r="L55" s="42">
        <v>18916</v>
      </c>
      <c r="M55" s="42">
        <v>19380</v>
      </c>
      <c r="N55" s="42">
        <v>24221</v>
      </c>
      <c r="O55" s="42">
        <v>26293</v>
      </c>
      <c r="P55" s="42">
        <v>28882</v>
      </c>
      <c r="Q55" s="42">
        <v>31371</v>
      </c>
      <c r="R55" s="42">
        <v>30721</v>
      </c>
      <c r="S55" s="42">
        <v>31577</v>
      </c>
      <c r="T55" s="42">
        <v>32315</v>
      </c>
      <c r="U55" s="42">
        <v>33092</v>
      </c>
      <c r="V55" s="42">
        <v>35545</v>
      </c>
      <c r="W55" s="42">
        <v>34137</v>
      </c>
      <c r="X55" s="42">
        <v>34502</v>
      </c>
      <c r="Y55" s="42">
        <v>34896</v>
      </c>
      <c r="Z55" s="42">
        <v>35189</v>
      </c>
      <c r="AA55" s="42">
        <v>34048</v>
      </c>
      <c r="AB55" s="42">
        <v>31155</v>
      </c>
      <c r="AC55" s="42">
        <v>29431</v>
      </c>
      <c r="AD55" s="42">
        <v>33065</v>
      </c>
      <c r="AE55" s="42">
        <v>32604</v>
      </c>
      <c r="AF55" s="42">
        <v>30774</v>
      </c>
      <c r="AG55" s="42">
        <v>29617</v>
      </c>
      <c r="AH55" s="42">
        <v>31786</v>
      </c>
      <c r="AI55" s="42">
        <v>31117</v>
      </c>
    </row>
    <row r="56" spans="1:35" ht="15" customHeight="1" x14ac:dyDescent="0.25">
      <c r="A56" s="125" t="s">
        <v>56</v>
      </c>
      <c r="B56" s="41">
        <f t="shared" ref="B56:E56" si="44">+B55+B54</f>
        <v>479023</v>
      </c>
      <c r="C56" s="41">
        <f t="shared" si="44"/>
        <v>531824</v>
      </c>
      <c r="D56" s="41">
        <f t="shared" si="44"/>
        <v>551706</v>
      </c>
      <c r="E56" s="41">
        <f t="shared" si="44"/>
        <v>583714</v>
      </c>
      <c r="F56" s="41">
        <f t="shared" ref="F56:J56" si="45">+F55+F54</f>
        <v>609877</v>
      </c>
      <c r="G56" s="41">
        <f>SUM(G54:G55)</f>
        <v>671639</v>
      </c>
      <c r="H56" s="41">
        <f>SUM(H54:H55)</f>
        <v>742679</v>
      </c>
      <c r="I56" s="41">
        <v>813267</v>
      </c>
      <c r="J56" s="41">
        <f t="shared" si="45"/>
        <v>897698</v>
      </c>
      <c r="K56" s="41">
        <f>+K55+K54</f>
        <v>963671</v>
      </c>
      <c r="L56" s="41">
        <f>+L55+L54</f>
        <v>964868</v>
      </c>
      <c r="M56" s="41">
        <f>+M55+M54</f>
        <v>998916</v>
      </c>
      <c r="N56" s="41">
        <f t="shared" ref="N56" si="46">+N55+N54</f>
        <v>967891</v>
      </c>
      <c r="O56" s="41">
        <f>+O55+O54</f>
        <v>991796</v>
      </c>
      <c r="P56" s="41">
        <f>+P55+P54</f>
        <v>1024963</v>
      </c>
      <c r="Q56" s="41">
        <f>+Q55+Q54</f>
        <v>1014405</v>
      </c>
      <c r="R56" s="41">
        <f t="shared" ref="R56" si="47">+R55+R54</f>
        <v>1037988</v>
      </c>
      <c r="S56" s="41">
        <f>+S55+S54</f>
        <v>1026608</v>
      </c>
      <c r="T56" s="41">
        <f>+T55+T54</f>
        <v>1034997</v>
      </c>
      <c r="U56" s="41">
        <f>+U55+U54</f>
        <v>1061912</v>
      </c>
      <c r="V56" s="41">
        <f t="shared" ref="V56" si="48">+V55+V54</f>
        <v>1152687</v>
      </c>
      <c r="W56" s="41">
        <f t="shared" ref="W56:AA56" si="49">+W55+W54</f>
        <v>1143763</v>
      </c>
      <c r="X56" s="41">
        <f t="shared" si="49"/>
        <v>1158069</v>
      </c>
      <c r="Y56" s="41">
        <f t="shared" si="49"/>
        <v>1151252</v>
      </c>
      <c r="Z56" s="41">
        <f>+Z55+Z54</f>
        <v>1198320</v>
      </c>
      <c r="AA56" s="41">
        <f t="shared" si="49"/>
        <v>1202523</v>
      </c>
      <c r="AB56" s="41">
        <f t="shared" ref="AB56:AG56" si="50">+AB55+AB54</f>
        <v>1110188</v>
      </c>
      <c r="AC56" s="41">
        <f t="shared" si="50"/>
        <v>1076900</v>
      </c>
      <c r="AD56" s="41">
        <f t="shared" si="50"/>
        <v>1081106</v>
      </c>
      <c r="AE56" s="41">
        <f t="shared" si="50"/>
        <v>1050189</v>
      </c>
      <c r="AF56" s="41">
        <f t="shared" si="50"/>
        <v>1043012</v>
      </c>
      <c r="AG56" s="41">
        <f t="shared" si="50"/>
        <v>1034850</v>
      </c>
      <c r="AH56" s="41">
        <f t="shared" ref="AH56:AI56" si="51">+AH55+AH54</f>
        <v>1111391</v>
      </c>
      <c r="AI56" s="41">
        <f t="shared" si="51"/>
        <v>1072599</v>
      </c>
    </row>
    <row r="57" spans="1:35" ht="15" customHeight="1" thickBot="1" x14ac:dyDescent="0.3">
      <c r="A57" s="126" t="s">
        <v>57</v>
      </c>
      <c r="B57" s="32">
        <f t="shared" ref="B57:E57" si="52">SUM(B46,B56)</f>
        <v>841719</v>
      </c>
      <c r="C57" s="32">
        <f t="shared" si="52"/>
        <v>893713</v>
      </c>
      <c r="D57" s="32">
        <f t="shared" si="52"/>
        <v>915416</v>
      </c>
      <c r="E57" s="32">
        <f t="shared" si="52"/>
        <v>953965</v>
      </c>
      <c r="F57" s="32">
        <f t="shared" ref="F57:K57" si="53">SUM(F46,F56)</f>
        <v>1211186</v>
      </c>
      <c r="G57" s="32">
        <f t="shared" si="53"/>
        <v>1237389</v>
      </c>
      <c r="H57" s="32">
        <f t="shared" si="53"/>
        <v>1298145</v>
      </c>
      <c r="I57" s="32">
        <f t="shared" si="53"/>
        <v>1358194</v>
      </c>
      <c r="J57" s="32">
        <f t="shared" si="53"/>
        <v>1531300</v>
      </c>
      <c r="K57" s="32">
        <f t="shared" si="53"/>
        <v>1499360</v>
      </c>
      <c r="L57" s="32">
        <f t="shared" ref="L57" si="54">SUM(L46,L56)</f>
        <v>1456542</v>
      </c>
      <c r="M57" s="32">
        <v>1515943</v>
      </c>
      <c r="N57" s="32">
        <f t="shared" ref="N57:O57" si="55">SUM(N46,N56)</f>
        <v>1597135</v>
      </c>
      <c r="O57" s="32">
        <f t="shared" si="55"/>
        <v>1745916</v>
      </c>
      <c r="P57" s="32">
        <f t="shared" ref="P57:S57" si="56">SUM(P46,P56)</f>
        <v>1749569</v>
      </c>
      <c r="Q57" s="32">
        <f t="shared" si="56"/>
        <v>1701888</v>
      </c>
      <c r="R57" s="32">
        <f t="shared" si="56"/>
        <v>1790384</v>
      </c>
      <c r="S57" s="32">
        <f t="shared" si="56"/>
        <v>1675889</v>
      </c>
      <c r="T57" s="32">
        <f t="shared" ref="T57:W57" si="57">SUM(T46,T56)</f>
        <v>1804402</v>
      </c>
      <c r="U57" s="32">
        <f t="shared" si="57"/>
        <v>1843368</v>
      </c>
      <c r="V57" s="32">
        <f t="shared" si="57"/>
        <v>1853410</v>
      </c>
      <c r="W57" s="32">
        <f t="shared" si="57"/>
        <v>1782635</v>
      </c>
      <c r="X57" s="32">
        <f t="shared" ref="X57:Y57" si="58">SUM(X46,X56)</f>
        <v>1842442</v>
      </c>
      <c r="Y57" s="32">
        <f t="shared" si="58"/>
        <v>1814493</v>
      </c>
      <c r="Z57" s="32">
        <f t="shared" ref="Z57:AD57" si="59">SUM(Z46,Z56)</f>
        <v>1983591</v>
      </c>
      <c r="AA57" s="32">
        <f t="shared" si="59"/>
        <v>1915340</v>
      </c>
      <c r="AB57" s="32">
        <f t="shared" si="59"/>
        <v>1870844</v>
      </c>
      <c r="AC57" s="32">
        <f t="shared" si="59"/>
        <v>2122570</v>
      </c>
      <c r="AD57" s="32">
        <f t="shared" si="59"/>
        <v>2348894</v>
      </c>
      <c r="AE57" s="32">
        <f>SUM(AE46,AE56)</f>
        <v>2191487</v>
      </c>
      <c r="AF57" s="32">
        <f t="shared" ref="AF57:AH57" si="60">SUM(AF46,AF56)</f>
        <v>2128367</v>
      </c>
      <c r="AG57" s="32">
        <f t="shared" si="60"/>
        <v>2140643</v>
      </c>
      <c r="AH57" s="32">
        <f t="shared" si="60"/>
        <v>2431919</v>
      </c>
      <c r="AI57" s="32">
        <f>SUM(AI46,AI56)</f>
        <v>2206250</v>
      </c>
    </row>
    <row r="58" spans="1:35" ht="15" customHeight="1" thickTop="1" x14ac:dyDescent="0.25"/>
    <row r="59" spans="1:35" ht="15" customHeight="1" x14ac:dyDescent="0.25"/>
    <row r="60" spans="1:35" ht="15" customHeight="1" x14ac:dyDescent="0.25"/>
    <row r="61" spans="1:35" ht="15" customHeight="1" x14ac:dyDescent="0.25"/>
    <row r="62" spans="1:35" ht="15" customHeight="1" x14ac:dyDescent="0.25"/>
    <row r="63" spans="1:35" ht="15" customHeight="1" x14ac:dyDescent="0.25"/>
    <row r="64" spans="1:35"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M107"/>
  <sheetViews>
    <sheetView showGridLines="0" tabSelected="1" topLeftCell="A8" zoomScale="85" zoomScaleNormal="85" workbookViewId="0">
      <selection activeCell="N48" sqref="N48"/>
    </sheetView>
  </sheetViews>
  <sheetFormatPr defaultColWidth="21.33203125" defaultRowHeight="13.2" outlineLevelRow="1" x14ac:dyDescent="0.25"/>
  <cols>
    <col min="1" max="1" width="48.6640625" style="2" customWidth="1"/>
    <col min="2" max="3" width="11.33203125" style="2" bestFit="1" customWidth="1"/>
    <col min="4" max="5" width="11.33203125" style="2" customWidth="1"/>
    <col min="6" max="6" width="13" style="2" customWidth="1"/>
    <col min="7" max="7" width="11.33203125" style="2" customWidth="1"/>
    <col min="8" max="8" width="11.33203125" style="2" bestFit="1" customWidth="1"/>
    <col min="9" max="10" width="11.33203125" style="2" customWidth="1"/>
    <col min="11" max="11" width="13" style="2" customWidth="1"/>
    <col min="12" max="12" width="11.33203125" style="2" customWidth="1"/>
    <col min="13" max="13" width="4.109375" style="151" customWidth="1"/>
    <col min="14" max="16384" width="21.33203125" style="2"/>
  </cols>
  <sheetData>
    <row r="1" spans="1:13" ht="15" customHeight="1" x14ac:dyDescent="0.25">
      <c r="A1" s="10" t="s">
        <v>241</v>
      </c>
    </row>
    <row r="2" spans="1:13" ht="15" customHeight="1" x14ac:dyDescent="0.25">
      <c r="A2" s="5" t="s">
        <v>242</v>
      </c>
    </row>
    <row r="3" spans="1:13" ht="25.35" customHeight="1" x14ac:dyDescent="0.25">
      <c r="B3" s="23" t="s">
        <v>243</v>
      </c>
      <c r="C3" s="23" t="s">
        <v>244</v>
      </c>
      <c r="D3" s="23" t="s">
        <v>245</v>
      </c>
      <c r="E3" s="23" t="s">
        <v>246</v>
      </c>
      <c r="F3" s="295" t="s">
        <v>99</v>
      </c>
      <c r="G3" s="23" t="s">
        <v>247</v>
      </c>
      <c r="H3" s="23" t="s">
        <v>248</v>
      </c>
      <c r="I3" s="23" t="s">
        <v>249</v>
      </c>
      <c r="J3" s="23" t="s">
        <v>250</v>
      </c>
      <c r="K3" s="295" t="s">
        <v>104</v>
      </c>
      <c r="L3" s="23" t="s">
        <v>251</v>
      </c>
    </row>
    <row r="4" spans="1:13" ht="15" customHeight="1" x14ac:dyDescent="0.25">
      <c r="A4" s="24"/>
      <c r="B4" s="25"/>
      <c r="C4" s="25"/>
      <c r="D4" s="25"/>
      <c r="E4" s="25"/>
      <c r="F4" s="25"/>
      <c r="G4" s="25"/>
      <c r="H4" s="25"/>
      <c r="I4" s="25"/>
      <c r="J4" s="25"/>
      <c r="K4" s="25"/>
      <c r="L4" s="25"/>
    </row>
    <row r="5" spans="1:13" ht="15" customHeight="1" x14ac:dyDescent="0.25">
      <c r="A5" s="26" t="s">
        <v>252</v>
      </c>
      <c r="B5" s="249">
        <v>18764</v>
      </c>
      <c r="C5" s="249">
        <v>18911</v>
      </c>
      <c r="D5" s="249">
        <v>19008</v>
      </c>
      <c r="E5" s="249">
        <v>18990</v>
      </c>
      <c r="F5" s="80"/>
      <c r="G5" s="249">
        <v>18679</v>
      </c>
      <c r="H5" s="249">
        <v>18646</v>
      </c>
      <c r="I5" s="249">
        <v>18423</v>
      </c>
      <c r="J5" s="249">
        <v>18197</v>
      </c>
      <c r="K5" s="80"/>
      <c r="L5" s="249">
        <v>17767</v>
      </c>
      <c r="M5" s="268"/>
    </row>
    <row r="6" spans="1:13" ht="15" customHeight="1" x14ac:dyDescent="0.25">
      <c r="A6" s="27"/>
      <c r="B6" s="81"/>
      <c r="C6" s="81"/>
      <c r="D6" s="81"/>
      <c r="E6" s="81"/>
      <c r="F6" s="81"/>
      <c r="G6" s="81"/>
      <c r="H6" s="81"/>
      <c r="I6" s="81"/>
      <c r="J6" s="81"/>
      <c r="K6" s="81"/>
      <c r="L6" s="81"/>
    </row>
    <row r="7" spans="1:13" ht="15" customHeight="1" x14ac:dyDescent="0.25">
      <c r="A7" s="26" t="s">
        <v>106</v>
      </c>
      <c r="B7" s="80">
        <f>SUM(B8:B10)</f>
        <v>510567</v>
      </c>
      <c r="C7" s="80">
        <v>495090</v>
      </c>
      <c r="D7" s="80">
        <v>446921</v>
      </c>
      <c r="E7" s="80">
        <v>564425</v>
      </c>
      <c r="F7" s="82"/>
      <c r="G7" s="80">
        <v>445016</v>
      </c>
      <c r="H7" s="80">
        <v>468934</v>
      </c>
      <c r="I7" s="80">
        <v>469193</v>
      </c>
      <c r="J7" s="80">
        <v>566302</v>
      </c>
      <c r="K7" s="82"/>
      <c r="L7" s="80">
        <v>450055</v>
      </c>
    </row>
    <row r="8" spans="1:13" ht="15" customHeight="1" x14ac:dyDescent="0.25">
      <c r="A8" s="28" t="s">
        <v>186</v>
      </c>
      <c r="B8" s="146">
        <v>194847</v>
      </c>
      <c r="C8" s="146">
        <v>213340</v>
      </c>
      <c r="D8" s="146">
        <v>201274</v>
      </c>
      <c r="E8" s="146">
        <v>281806</v>
      </c>
      <c r="F8" s="83"/>
      <c r="G8" s="146">
        <v>188288</v>
      </c>
      <c r="H8" s="146">
        <v>204755</v>
      </c>
      <c r="I8" s="146">
        <v>213607</v>
      </c>
      <c r="J8" s="146">
        <v>280597</v>
      </c>
      <c r="K8" s="83"/>
      <c r="L8" s="146">
        <v>198365</v>
      </c>
    </row>
    <row r="9" spans="1:13" ht="15" customHeight="1" x14ac:dyDescent="0.25">
      <c r="A9" s="28" t="s">
        <v>187</v>
      </c>
      <c r="B9" s="146">
        <v>193954</v>
      </c>
      <c r="C9" s="146">
        <v>176867</v>
      </c>
      <c r="D9" s="146">
        <v>150915</v>
      </c>
      <c r="E9" s="146">
        <v>185125</v>
      </c>
      <c r="F9" s="83"/>
      <c r="G9" s="146">
        <v>160214</v>
      </c>
      <c r="H9" s="146">
        <v>158215</v>
      </c>
      <c r="I9" s="146">
        <v>164890</v>
      </c>
      <c r="J9" s="146">
        <v>189291</v>
      </c>
      <c r="K9" s="83"/>
      <c r="L9" s="146">
        <v>162842</v>
      </c>
    </row>
    <row r="10" spans="1:13" ht="15" customHeight="1" x14ac:dyDescent="0.25">
      <c r="A10" s="28" t="s">
        <v>253</v>
      </c>
      <c r="B10" s="146">
        <v>121766</v>
      </c>
      <c r="C10" s="146">
        <v>104883</v>
      </c>
      <c r="D10" s="146">
        <v>94732</v>
      </c>
      <c r="E10" s="146">
        <v>97494</v>
      </c>
      <c r="F10" s="83"/>
      <c r="G10" s="146">
        <v>96514</v>
      </c>
      <c r="H10" s="146">
        <v>105964</v>
      </c>
      <c r="I10" s="146">
        <v>90696</v>
      </c>
      <c r="J10" s="146">
        <v>96414</v>
      </c>
      <c r="K10" s="83"/>
      <c r="L10" s="146">
        <v>88848</v>
      </c>
    </row>
    <row r="11" spans="1:13" ht="15" customHeight="1" x14ac:dyDescent="0.25">
      <c r="A11" s="28"/>
      <c r="B11" s="83"/>
      <c r="C11" s="83"/>
      <c r="D11" s="83"/>
      <c r="E11" s="83"/>
      <c r="F11" s="83"/>
      <c r="G11" s="83"/>
      <c r="H11" s="83"/>
      <c r="I11" s="83"/>
      <c r="J11" s="83"/>
      <c r="K11" s="83"/>
      <c r="L11" s="83"/>
    </row>
    <row r="12" spans="1:13" ht="15" customHeight="1" x14ac:dyDescent="0.25">
      <c r="A12" s="26" t="s">
        <v>106</v>
      </c>
      <c r="B12" s="82">
        <f>'Contribution Ex Tac'!B13</f>
        <v>510567</v>
      </c>
      <c r="C12" s="82">
        <f>'Contribution Ex Tac'!C13</f>
        <v>495090</v>
      </c>
      <c r="D12" s="82">
        <f>'Contribution Ex Tac'!D13</f>
        <v>446921</v>
      </c>
      <c r="E12" s="82">
        <f>'Contribution Ex Tac'!E13</f>
        <v>564425</v>
      </c>
      <c r="F12" s="82">
        <f>'Contribution Ex Tac'!F13</f>
        <v>2017003</v>
      </c>
      <c r="G12" s="82">
        <f>'Contribution Ex Tac'!G13</f>
        <v>445016</v>
      </c>
      <c r="H12" s="82">
        <f>'Contribution Ex Tac'!H13</f>
        <v>468934</v>
      </c>
      <c r="I12" s="82">
        <f>'Contribution Ex Tac'!I13</f>
        <v>469193</v>
      </c>
      <c r="J12" s="82">
        <f>'Contribution Ex Tac'!J13</f>
        <v>566302</v>
      </c>
      <c r="K12" s="82">
        <f>'Contribution Ex Tac'!K13</f>
        <v>1949445</v>
      </c>
      <c r="L12" s="82">
        <f>'Contribution Ex Tac'!L13</f>
        <v>450055</v>
      </c>
    </row>
    <row r="13" spans="1:13" ht="15" customHeight="1" x14ac:dyDescent="0.25">
      <c r="A13" s="120" t="s">
        <v>254</v>
      </c>
      <c r="B13" s="83">
        <f>'Contribution Ex Tac'!B11</f>
        <v>46679</v>
      </c>
      <c r="C13" s="83">
        <f>'Contribution Ex Tac'!C11</f>
        <v>54667</v>
      </c>
      <c r="D13" s="83">
        <f>'Contribution Ex Tac'!D11</f>
        <v>41170</v>
      </c>
      <c r="E13" s="83">
        <f>'Contribution Ex Tac'!E11</f>
        <v>59801</v>
      </c>
      <c r="F13" s="83">
        <f>'Contribution Ex Tac'!F11</f>
        <v>202317</v>
      </c>
      <c r="G13" s="83">
        <f>'Contribution Ex Tac'!G11</f>
        <v>38021</v>
      </c>
      <c r="H13" s="83">
        <f>'Contribution Ex Tac'!H11</f>
        <v>44590</v>
      </c>
      <c r="I13" s="83">
        <f>'Contribution Ex Tac'!I11</f>
        <v>49813</v>
      </c>
      <c r="J13" s="83">
        <f>'Contribution Ex Tac'!J11</f>
        <v>76583</v>
      </c>
      <c r="K13" s="83">
        <f>'Contribution Ex Tac'!K11</f>
        <v>209007</v>
      </c>
      <c r="L13" s="83">
        <f>'Contribution Ex Tac'!L11</f>
        <v>50872</v>
      </c>
    </row>
    <row r="14" spans="1:13" ht="15" customHeight="1" x14ac:dyDescent="0.25">
      <c r="A14" s="120" t="s">
        <v>255</v>
      </c>
      <c r="B14" s="83">
        <f>'Contribution Ex Tac'!B12</f>
        <v>463888</v>
      </c>
      <c r="C14" s="83">
        <f>'Contribution Ex Tac'!C12</f>
        <v>440423</v>
      </c>
      <c r="D14" s="83">
        <f>'Contribution Ex Tac'!D12</f>
        <v>405751</v>
      </c>
      <c r="E14" s="83">
        <f>'Contribution Ex Tac'!E12</f>
        <v>504624</v>
      </c>
      <c r="F14" s="83">
        <f>'Contribution Ex Tac'!F12</f>
        <v>1814686</v>
      </c>
      <c r="G14" s="83">
        <f>'Contribution Ex Tac'!G12</f>
        <v>406995</v>
      </c>
      <c r="H14" s="83">
        <f>'Contribution Ex Tac'!H12</f>
        <v>424344</v>
      </c>
      <c r="I14" s="83">
        <f>'Contribution Ex Tac'!I12</f>
        <v>419380</v>
      </c>
      <c r="J14" s="83">
        <f>'Contribution Ex Tac'!J12</f>
        <v>489719</v>
      </c>
      <c r="K14" s="83">
        <f>'Contribution Ex Tac'!K12</f>
        <v>1740438</v>
      </c>
      <c r="L14" s="83">
        <f>'Contribution Ex Tac'!L12</f>
        <v>399183</v>
      </c>
    </row>
    <row r="15" spans="1:13" ht="15" customHeight="1" x14ac:dyDescent="0.25">
      <c r="A15" s="27"/>
      <c r="B15" s="84"/>
      <c r="C15" s="84"/>
      <c r="D15" s="84"/>
      <c r="E15" s="84"/>
      <c r="F15" s="300"/>
      <c r="G15" s="84"/>
      <c r="H15" s="84"/>
      <c r="I15" s="84"/>
      <c r="J15" s="84"/>
      <c r="K15" s="300"/>
      <c r="L15" s="84"/>
    </row>
    <row r="16" spans="1:13" ht="15" hidden="1" customHeight="1" x14ac:dyDescent="0.25">
      <c r="A16" s="26" t="s">
        <v>256</v>
      </c>
      <c r="B16" s="82" t="e">
        <f>SUM(B17:B19)</f>
        <v>#REF!</v>
      </c>
      <c r="C16" s="82" t="e">
        <f>SUM(C17:C19)</f>
        <v>#REF!</v>
      </c>
      <c r="D16" s="82" t="e">
        <f>SUM(D17:D19)</f>
        <v>#REF!</v>
      </c>
      <c r="E16" s="82"/>
      <c r="F16" s="296"/>
      <c r="G16" s="82" t="e">
        <f>SUM(G17:G19)</f>
        <v>#REF!</v>
      </c>
      <c r="H16" s="82" t="e">
        <f>SUM(H17:H19)</f>
        <v>#REF!</v>
      </c>
      <c r="I16" s="82" t="e">
        <f>SUM(I17:I19)</f>
        <v>#REF!</v>
      </c>
      <c r="J16" s="82"/>
      <c r="K16" s="296"/>
      <c r="L16" s="82" t="e">
        <f>SUM(L17:L19)</f>
        <v>#REF!</v>
      </c>
    </row>
    <row r="17" spans="1:12" ht="15" hidden="1" customHeight="1" x14ac:dyDescent="0.25">
      <c r="A17" s="28" t="s">
        <v>186</v>
      </c>
      <c r="B17" s="83" t="e">
        <f>'Contribution Ex Tac'!#REF!</f>
        <v>#REF!</v>
      </c>
      <c r="C17" s="83" t="e">
        <f>'Contribution Ex Tac'!#REF!</f>
        <v>#REF!</v>
      </c>
      <c r="D17" s="83" t="e">
        <f>'Contribution Ex Tac'!#REF!</f>
        <v>#REF!</v>
      </c>
      <c r="E17" s="83"/>
      <c r="F17" s="297"/>
      <c r="G17" s="83" t="e">
        <f>'Contribution Ex Tac'!#REF!</f>
        <v>#REF!</v>
      </c>
      <c r="H17" s="83" t="e">
        <f>'Contribution Ex Tac'!#REF!</f>
        <v>#REF!</v>
      </c>
      <c r="I17" s="83" t="e">
        <f>'Contribution Ex Tac'!#REF!</f>
        <v>#REF!</v>
      </c>
      <c r="J17" s="83"/>
      <c r="K17" s="297"/>
      <c r="L17" s="83" t="e">
        <f>'Contribution Ex Tac'!#REF!</f>
        <v>#REF!</v>
      </c>
    </row>
    <row r="18" spans="1:12" ht="15" hidden="1" customHeight="1" x14ac:dyDescent="0.25">
      <c r="A18" s="28" t="s">
        <v>187</v>
      </c>
      <c r="B18" s="83" t="e">
        <f>'Contribution Ex Tac'!#REF!</f>
        <v>#REF!</v>
      </c>
      <c r="C18" s="83" t="e">
        <f>'Contribution Ex Tac'!#REF!</f>
        <v>#REF!</v>
      </c>
      <c r="D18" s="83" t="e">
        <f>'Contribution Ex Tac'!#REF!</f>
        <v>#REF!</v>
      </c>
      <c r="E18" s="83"/>
      <c r="F18" s="297"/>
      <c r="G18" s="83" t="e">
        <f>'Contribution Ex Tac'!#REF!</f>
        <v>#REF!</v>
      </c>
      <c r="H18" s="83" t="e">
        <f>'Contribution Ex Tac'!#REF!</f>
        <v>#REF!</v>
      </c>
      <c r="I18" s="83" t="e">
        <f>'Contribution Ex Tac'!#REF!</f>
        <v>#REF!</v>
      </c>
      <c r="J18" s="83"/>
      <c r="K18" s="297"/>
      <c r="L18" s="83" t="e">
        <f>'Contribution Ex Tac'!#REF!</f>
        <v>#REF!</v>
      </c>
    </row>
    <row r="19" spans="1:12" ht="15" hidden="1" customHeight="1" x14ac:dyDescent="0.25">
      <c r="A19" s="28" t="s">
        <v>253</v>
      </c>
      <c r="B19" s="83" t="e">
        <f>'Contribution Ex Tac'!#REF!</f>
        <v>#REF!</v>
      </c>
      <c r="C19" s="83" t="e">
        <f>'Contribution Ex Tac'!#REF!</f>
        <v>#REF!</v>
      </c>
      <c r="D19" s="83" t="e">
        <f>'Contribution Ex Tac'!#REF!</f>
        <v>#REF!</v>
      </c>
      <c r="E19" s="83"/>
      <c r="F19" s="297"/>
      <c r="G19" s="83" t="e">
        <f>'Contribution Ex Tac'!#REF!</f>
        <v>#REF!</v>
      </c>
      <c r="H19" s="83" t="e">
        <f>'Contribution Ex Tac'!#REF!</f>
        <v>#REF!</v>
      </c>
      <c r="I19" s="83" t="e">
        <f>'Contribution Ex Tac'!#REF!</f>
        <v>#REF!</v>
      </c>
      <c r="J19" s="83"/>
      <c r="K19" s="297"/>
      <c r="L19" s="83" t="e">
        <f>'Contribution Ex Tac'!#REF!</f>
        <v>#REF!</v>
      </c>
    </row>
    <row r="20" spans="1:12" ht="15" hidden="1" customHeight="1" x14ac:dyDescent="0.25">
      <c r="A20" s="28"/>
      <c r="B20" s="83"/>
      <c r="C20" s="83"/>
      <c r="D20" s="83"/>
      <c r="E20" s="83"/>
      <c r="F20" s="297"/>
      <c r="G20" s="83"/>
      <c r="H20" s="83"/>
      <c r="I20" s="83"/>
      <c r="J20" s="83"/>
      <c r="K20" s="297"/>
      <c r="L20" s="83"/>
    </row>
    <row r="21" spans="1:12" ht="15" customHeight="1" x14ac:dyDescent="0.25">
      <c r="A21" s="26" t="s">
        <v>256</v>
      </c>
      <c r="B21" s="298">
        <f>'Contribution Ex Tac'!B18</f>
        <v>293650</v>
      </c>
      <c r="C21" s="298">
        <f>'Contribution Ex Tac'!C18</f>
        <v>280565</v>
      </c>
      <c r="D21" s="298">
        <f>'Contribution Ex Tac'!D18</f>
        <v>233543</v>
      </c>
      <c r="E21" s="298">
        <f>'Contribution Ex Tac'!E18</f>
        <v>281021</v>
      </c>
      <c r="F21" s="298">
        <f>'Contribution Ex Tac'!F18</f>
        <v>1088779</v>
      </c>
      <c r="G21" s="298">
        <f>'Contribution Ex Tac'!G18</f>
        <v>224398</v>
      </c>
      <c r="H21" s="298">
        <f>'Contribution Ex Tac'!H18</f>
        <v>228717</v>
      </c>
      <c r="I21" s="298">
        <f>'Contribution Ex Tac'!I18</f>
        <v>223798</v>
      </c>
      <c r="J21" s="298">
        <f>'Contribution Ex Tac'!J18</f>
        <v>249926</v>
      </c>
      <c r="K21" s="298">
        <f>'Contribution Ex Tac'!K18</f>
        <v>926839</v>
      </c>
      <c r="L21" s="82">
        <f>'Contribution Ex Tac'!L18</f>
        <v>-196167</v>
      </c>
    </row>
    <row r="22" spans="1:12" ht="15" customHeight="1" x14ac:dyDescent="0.25">
      <c r="A22" s="120" t="s">
        <v>254</v>
      </c>
      <c r="B22" s="299">
        <f>'Contribution Ex Tac'!B16</f>
        <v>15850</v>
      </c>
      <c r="C22" s="299">
        <f>'Contribution Ex Tac'!C16</f>
        <v>18111</v>
      </c>
      <c r="D22" s="299">
        <f>'Contribution Ex Tac'!D16</f>
        <v>4277</v>
      </c>
      <c r="E22" s="299">
        <f>'Contribution Ex Tac'!E16</f>
        <v>2719</v>
      </c>
      <c r="F22" s="299">
        <f>'Contribution Ex Tac'!F16</f>
        <v>40957</v>
      </c>
      <c r="G22" s="299">
        <f>'Contribution Ex Tac'!G16</f>
        <v>669</v>
      </c>
      <c r="H22" s="299">
        <f>'Contribution Ex Tac'!H16</f>
        <v>1072</v>
      </c>
      <c r="I22" s="299">
        <f>'Contribution Ex Tac'!I16</f>
        <v>1377</v>
      </c>
      <c r="J22" s="299">
        <f>'Contribution Ex Tac'!J16</f>
        <v>2429</v>
      </c>
      <c r="K22" s="299">
        <f>'Contribution Ex Tac'!K16</f>
        <v>5547</v>
      </c>
      <c r="L22" s="83">
        <f>'Contribution Ex Tac'!L16</f>
        <v>-703</v>
      </c>
    </row>
    <row r="23" spans="1:12" ht="15" customHeight="1" x14ac:dyDescent="0.25">
      <c r="A23" s="120" t="s">
        <v>255</v>
      </c>
      <c r="B23" s="299">
        <f>'Contribution Ex Tac'!B17</f>
        <v>277800</v>
      </c>
      <c r="C23" s="299">
        <f>'Contribution Ex Tac'!C17</f>
        <v>262454</v>
      </c>
      <c r="D23" s="299">
        <f>'Contribution Ex Tac'!D17</f>
        <v>229266</v>
      </c>
      <c r="E23" s="299">
        <f>'Contribution Ex Tac'!E17</f>
        <v>278302</v>
      </c>
      <c r="F23" s="299">
        <f>'Contribution Ex Tac'!F17</f>
        <v>1047822</v>
      </c>
      <c r="G23" s="299">
        <f>'Contribution Ex Tac'!G17</f>
        <v>223729</v>
      </c>
      <c r="H23" s="299">
        <f>'Contribution Ex Tac'!H17</f>
        <v>227645</v>
      </c>
      <c r="I23" s="299">
        <f>'Contribution Ex Tac'!I17</f>
        <v>222421</v>
      </c>
      <c r="J23" s="299">
        <f>'Contribution Ex Tac'!J17</f>
        <v>247497</v>
      </c>
      <c r="K23" s="299">
        <f>'Contribution Ex Tac'!K17</f>
        <v>921292</v>
      </c>
      <c r="L23" s="83">
        <f>'Contribution Ex Tac'!L17</f>
        <v>-195464</v>
      </c>
    </row>
    <row r="24" spans="1:12" ht="15" customHeight="1" x14ac:dyDescent="0.25">
      <c r="A24" s="27"/>
      <c r="B24" s="84"/>
      <c r="C24" s="84"/>
      <c r="D24" s="84"/>
      <c r="E24" s="84"/>
      <c r="F24" s="300"/>
      <c r="G24" s="84"/>
      <c r="H24" s="84"/>
      <c r="I24" s="84"/>
      <c r="J24" s="84"/>
      <c r="K24" s="300"/>
      <c r="L24" s="84"/>
    </row>
    <row r="25" spans="1:12" ht="15" hidden="1" customHeight="1" x14ac:dyDescent="0.25">
      <c r="A25" s="26" t="s">
        <v>257</v>
      </c>
      <c r="B25" s="82" t="e">
        <f>SUM(B26:B28)</f>
        <v>#REF!</v>
      </c>
      <c r="C25" s="82" t="e">
        <f>SUM(C26:C28)</f>
        <v>#REF!</v>
      </c>
      <c r="D25" s="82" t="e">
        <f>SUM(D26:D28)</f>
        <v>#REF!</v>
      </c>
      <c r="E25" s="82"/>
      <c r="F25" s="296"/>
      <c r="G25" s="82" t="e">
        <f>SUM(G26:G28)</f>
        <v>#REF!</v>
      </c>
      <c r="H25" s="82" t="e">
        <f>SUM(H26:H28)</f>
        <v>#REF!</v>
      </c>
      <c r="I25" s="82" t="e">
        <f>SUM(I26:I28)</f>
        <v>#REF!</v>
      </c>
      <c r="J25" s="82"/>
      <c r="K25" s="296"/>
      <c r="L25" s="82" t="e">
        <f>SUM(L26:L28)</f>
        <v>#REF!</v>
      </c>
    </row>
    <row r="26" spans="1:12" ht="15" hidden="1" customHeight="1" x14ac:dyDescent="0.25">
      <c r="A26" s="28" t="s">
        <v>186</v>
      </c>
      <c r="B26" s="83" t="e">
        <f t="shared" ref="B26:D28" si="0">B8+B17</f>
        <v>#REF!</v>
      </c>
      <c r="C26" s="83" t="e">
        <f t="shared" si="0"/>
        <v>#REF!</v>
      </c>
      <c r="D26" s="83" t="e">
        <f t="shared" si="0"/>
        <v>#REF!</v>
      </c>
      <c r="E26" s="83"/>
      <c r="F26" s="297"/>
      <c r="G26" s="83" t="e">
        <f t="shared" ref="G26:I28" si="1">G8+G17</f>
        <v>#REF!</v>
      </c>
      <c r="H26" s="83" t="e">
        <f t="shared" si="1"/>
        <v>#REF!</v>
      </c>
      <c r="I26" s="83" t="e">
        <f t="shared" si="1"/>
        <v>#REF!</v>
      </c>
      <c r="J26" s="83"/>
      <c r="K26" s="297"/>
      <c r="L26" s="83" t="e">
        <f>L8+L17</f>
        <v>#REF!</v>
      </c>
    </row>
    <row r="27" spans="1:12" ht="15" hidden="1" customHeight="1" x14ac:dyDescent="0.25">
      <c r="A27" s="28" t="s">
        <v>187</v>
      </c>
      <c r="B27" s="83" t="e">
        <f t="shared" si="0"/>
        <v>#REF!</v>
      </c>
      <c r="C27" s="83" t="e">
        <f t="shared" si="0"/>
        <v>#REF!</v>
      </c>
      <c r="D27" s="83" t="e">
        <f t="shared" si="0"/>
        <v>#REF!</v>
      </c>
      <c r="E27" s="83"/>
      <c r="F27" s="297"/>
      <c r="G27" s="83" t="e">
        <f t="shared" si="1"/>
        <v>#REF!</v>
      </c>
      <c r="H27" s="83" t="e">
        <f t="shared" si="1"/>
        <v>#REF!</v>
      </c>
      <c r="I27" s="83" t="e">
        <f t="shared" si="1"/>
        <v>#REF!</v>
      </c>
      <c r="J27" s="83"/>
      <c r="K27" s="297"/>
      <c r="L27" s="83" t="e">
        <f>L9+L18</f>
        <v>#REF!</v>
      </c>
    </row>
    <row r="28" spans="1:12" ht="15" hidden="1" customHeight="1" x14ac:dyDescent="0.25">
      <c r="A28" s="28" t="s">
        <v>253</v>
      </c>
      <c r="B28" s="83" t="e">
        <f t="shared" si="0"/>
        <v>#REF!</v>
      </c>
      <c r="C28" s="83" t="e">
        <f t="shared" si="0"/>
        <v>#REF!</v>
      </c>
      <c r="D28" s="83" t="e">
        <f t="shared" si="0"/>
        <v>#REF!</v>
      </c>
      <c r="E28" s="83"/>
      <c r="F28" s="297"/>
      <c r="G28" s="83" t="e">
        <f t="shared" si="1"/>
        <v>#REF!</v>
      </c>
      <c r="H28" s="83" t="e">
        <f t="shared" si="1"/>
        <v>#REF!</v>
      </c>
      <c r="I28" s="83" t="e">
        <f t="shared" si="1"/>
        <v>#REF!</v>
      </c>
      <c r="J28" s="83"/>
      <c r="K28" s="297"/>
      <c r="L28" s="83" t="e">
        <f>L10+L19</f>
        <v>#REF!</v>
      </c>
    </row>
    <row r="29" spans="1:12" ht="15" hidden="1" customHeight="1" x14ac:dyDescent="0.25">
      <c r="A29" s="28"/>
      <c r="B29" s="83"/>
      <c r="C29" s="83"/>
      <c r="D29" s="83"/>
      <c r="E29" s="83"/>
      <c r="F29" s="297"/>
      <c r="G29" s="83"/>
      <c r="H29" s="83"/>
      <c r="I29" s="83"/>
      <c r="J29" s="83"/>
      <c r="K29" s="297"/>
      <c r="L29" s="83"/>
    </row>
    <row r="30" spans="1:12" ht="15" customHeight="1" x14ac:dyDescent="0.25">
      <c r="A30" s="26" t="s">
        <v>258</v>
      </c>
      <c r="B30" s="298">
        <f>'Contribution Ex Tac'!B23</f>
        <v>216917</v>
      </c>
      <c r="C30" s="298">
        <f>'Contribution Ex Tac'!C23</f>
        <v>214525</v>
      </c>
      <c r="D30" s="298">
        <f>'Contribution Ex Tac'!D23</f>
        <v>213378</v>
      </c>
      <c r="E30" s="298">
        <f>'Contribution Ex Tac'!E23</f>
        <v>283404</v>
      </c>
      <c r="F30" s="298">
        <f>'Contribution Ex Tac'!F23</f>
        <v>928224</v>
      </c>
      <c r="G30" s="298">
        <f>'Contribution Ex Tac'!G23</f>
        <v>220618</v>
      </c>
      <c r="H30" s="298">
        <f>'Contribution Ex Tac'!H23</f>
        <v>240217</v>
      </c>
      <c r="I30" s="298">
        <f>'Contribution Ex Tac'!I23</f>
        <v>245395</v>
      </c>
      <c r="J30" s="298">
        <f>'Contribution Ex Tac'!J23</f>
        <v>316376</v>
      </c>
      <c r="K30" s="298">
        <f>'Contribution Ex Tac'!K23</f>
        <v>1022606</v>
      </c>
      <c r="L30" s="298">
        <f>'Contribution Ex Tac'!L23</f>
        <v>253888</v>
      </c>
    </row>
    <row r="31" spans="1:12" ht="15" customHeight="1" x14ac:dyDescent="0.25">
      <c r="A31" s="120" t="s">
        <v>254</v>
      </c>
      <c r="B31" s="299">
        <f>'Contribution Ex Tac'!B21</f>
        <v>30829</v>
      </c>
      <c r="C31" s="299">
        <f>'Contribution Ex Tac'!C21</f>
        <v>36556</v>
      </c>
      <c r="D31" s="299">
        <f>'Contribution Ex Tac'!D21</f>
        <v>36893</v>
      </c>
      <c r="E31" s="299">
        <f>'Contribution Ex Tac'!E21</f>
        <v>57082</v>
      </c>
      <c r="F31" s="299">
        <f>'Contribution Ex Tac'!F21</f>
        <v>161360</v>
      </c>
      <c r="G31" s="299">
        <f>'Contribution Ex Tac'!G21</f>
        <v>37352</v>
      </c>
      <c r="H31" s="299">
        <f>'Contribution Ex Tac'!H21</f>
        <v>43518</v>
      </c>
      <c r="I31" s="299">
        <f>'Contribution Ex Tac'!I21</f>
        <v>48436</v>
      </c>
      <c r="J31" s="299">
        <f>'Contribution Ex Tac'!J21</f>
        <v>74154</v>
      </c>
      <c r="K31" s="299">
        <f>'Contribution Ex Tac'!K21</f>
        <v>203460</v>
      </c>
      <c r="L31" s="299">
        <f>'Contribution Ex Tac'!L21</f>
        <v>50169</v>
      </c>
    </row>
    <row r="32" spans="1:12" ht="15" customHeight="1" x14ac:dyDescent="0.25">
      <c r="A32" s="120" t="s">
        <v>255</v>
      </c>
      <c r="B32" s="299">
        <f>'Contribution Ex Tac'!B22</f>
        <v>186088</v>
      </c>
      <c r="C32" s="299">
        <f>'Contribution Ex Tac'!C22</f>
        <v>177969</v>
      </c>
      <c r="D32" s="299">
        <f>'Contribution Ex Tac'!D22</f>
        <v>176485</v>
      </c>
      <c r="E32" s="299">
        <f>'Contribution Ex Tac'!E22</f>
        <v>226322</v>
      </c>
      <c r="F32" s="299">
        <f>'Contribution Ex Tac'!F22</f>
        <v>766864</v>
      </c>
      <c r="G32" s="299">
        <f>'Contribution Ex Tac'!G22</f>
        <v>183266</v>
      </c>
      <c r="H32" s="299">
        <f>'Contribution Ex Tac'!H22</f>
        <v>196699</v>
      </c>
      <c r="I32" s="299">
        <f>'Contribution Ex Tac'!I22</f>
        <v>196959</v>
      </c>
      <c r="J32" s="299">
        <f>'Contribution Ex Tac'!J22</f>
        <v>242222</v>
      </c>
      <c r="K32" s="299">
        <f>'Contribution Ex Tac'!K22</f>
        <v>819146</v>
      </c>
      <c r="L32" s="299">
        <f>'Contribution Ex Tac'!L22</f>
        <v>203719</v>
      </c>
    </row>
    <row r="33" spans="1:12" ht="15" hidden="1" customHeight="1" outlineLevel="1" x14ac:dyDescent="0.25">
      <c r="A33" s="27"/>
      <c r="B33" s="84"/>
      <c r="C33" s="84"/>
      <c r="D33" s="84"/>
      <c r="E33" s="84"/>
      <c r="F33" s="84"/>
      <c r="G33" s="84"/>
      <c r="H33" s="84"/>
      <c r="I33" s="84"/>
      <c r="J33" s="84"/>
      <c r="K33" s="84"/>
      <c r="L33" s="84"/>
    </row>
    <row r="34" spans="1:12" ht="15" hidden="1" customHeight="1" outlineLevel="1" x14ac:dyDescent="0.25">
      <c r="A34" s="26" t="s">
        <v>210</v>
      </c>
      <c r="B34" s="82">
        <f>'Reconciliation Adj EBITDA'!AK35</f>
        <v>62825</v>
      </c>
      <c r="C34" s="82">
        <f>'Reconciliation Adj EBITDA'!AL35</f>
        <v>49993</v>
      </c>
      <c r="D34" s="82">
        <f>'Reconciliation Adj EBITDA'!AM35</f>
        <v>50176</v>
      </c>
      <c r="E34" s="82">
        <f>'Reconciliation Adj EBITDA'!AN35</f>
        <v>104305</v>
      </c>
      <c r="F34" s="82">
        <f>'Reconciliation Adj EBITDA'!AO35</f>
        <v>267299</v>
      </c>
      <c r="G34" s="82">
        <f>'Reconciliation Adj EBITDA'!AP35</f>
        <v>38723</v>
      </c>
      <c r="H34" s="82">
        <f>'Reconciliation Adj EBITDA'!AQ35</f>
        <v>55986</v>
      </c>
      <c r="I34" s="82">
        <f>'Reconciliation Adj EBITDA'!AR35</f>
        <v>68443</v>
      </c>
      <c r="J34" s="82">
        <f>'Reconciliation Adj EBITDA'!AS35</f>
        <v>138645</v>
      </c>
      <c r="K34" s="82">
        <f>'Reconciliation Adj EBITDA'!AT35</f>
        <v>301798</v>
      </c>
      <c r="L34" s="82">
        <f>'Reconciliation Adj EBITDA'!AU35</f>
        <v>70679</v>
      </c>
    </row>
    <row r="35" spans="1:12" ht="15" customHeight="1" collapsed="1" x14ac:dyDescent="0.25">
      <c r="A35" s="27"/>
      <c r="B35" s="84"/>
      <c r="C35" s="84"/>
      <c r="D35" s="84"/>
      <c r="E35" s="84"/>
      <c r="F35" s="84"/>
      <c r="G35" s="84"/>
      <c r="H35" s="84"/>
      <c r="I35" s="84"/>
      <c r="J35" s="84"/>
      <c r="K35" s="84"/>
      <c r="L35" s="84"/>
    </row>
    <row r="36" spans="1:12" ht="14.1" customHeight="1" x14ac:dyDescent="0.25">
      <c r="A36" s="29" t="s">
        <v>259</v>
      </c>
      <c r="B36" s="85">
        <f>Cashflows!AK25</f>
        <v>74930</v>
      </c>
      <c r="C36" s="85">
        <f>Cashflows!AL25</f>
        <v>13972</v>
      </c>
      <c r="D36" s="85">
        <f>Cashflows!AM25</f>
        <v>41628</v>
      </c>
      <c r="E36" s="85">
        <f>Cashflows!AN25</f>
        <v>125455</v>
      </c>
      <c r="F36" s="85"/>
      <c r="G36" s="85">
        <f>Cashflows!AP25</f>
        <v>41964</v>
      </c>
      <c r="H36" s="85">
        <f>Cashflows!AQ25</f>
        <v>1328.0000000000036</v>
      </c>
      <c r="I36" s="85">
        <f>Cashflows!AR25</f>
        <v>19614</v>
      </c>
      <c r="J36" s="85">
        <f>Cashflows!AS25</f>
        <v>161339.76</v>
      </c>
      <c r="K36" s="85"/>
      <c r="L36" s="85">
        <f>Cashflows!AU25</f>
        <v>14017</v>
      </c>
    </row>
    <row r="37" spans="1:12" ht="20.100000000000001" customHeight="1" x14ac:dyDescent="0.25">
      <c r="A37" s="27"/>
      <c r="B37" s="86"/>
      <c r="C37" s="86"/>
      <c r="D37" s="86"/>
      <c r="E37" s="86"/>
      <c r="F37" s="86"/>
      <c r="G37" s="86"/>
      <c r="H37" s="86"/>
      <c r="I37" s="86"/>
      <c r="J37" s="86"/>
      <c r="K37" s="86"/>
      <c r="L37" s="86"/>
    </row>
    <row r="38" spans="1:12" ht="15" customHeight="1" x14ac:dyDescent="0.25">
      <c r="A38" s="29" t="s">
        <v>260</v>
      </c>
      <c r="B38" s="85">
        <f>-(Cashflows!AK26+Cashflows!AK27)</f>
        <v>5564</v>
      </c>
      <c r="C38" s="85">
        <f>-(Cashflows!AL26+Cashflows!AL27)</f>
        <v>15452</v>
      </c>
      <c r="D38" s="85">
        <f>-(Cashflows!AM26+Cashflows!AM27)</f>
        <v>20307</v>
      </c>
      <c r="E38" s="85">
        <f>-(Cashflows!AN26+Cashflows!AN27)</f>
        <v>14522</v>
      </c>
      <c r="F38" s="85"/>
      <c r="G38" s="85">
        <f>-(Cashflows!AP26+Cashflows!AP27)</f>
        <v>33219</v>
      </c>
      <c r="H38" s="85">
        <f>-(Cashflows!AQ26+Cashflows!AQ27)</f>
        <v>45519</v>
      </c>
      <c r="I38" s="85">
        <f>-(Cashflows!AR26+Cashflows!AR27)</f>
        <v>15849</v>
      </c>
      <c r="J38" s="85">
        <f>-(Cashflows!AS26+Cashflows!AS27)</f>
        <v>19724</v>
      </c>
      <c r="K38" s="85"/>
      <c r="L38" s="85">
        <f>-(Cashflows!AU26+Cashflows!AU27)</f>
        <v>13224</v>
      </c>
    </row>
    <row r="39" spans="1:12" ht="15" customHeight="1" x14ac:dyDescent="0.25">
      <c r="A39" s="27"/>
      <c r="B39" s="86"/>
      <c r="C39" s="86"/>
      <c r="D39" s="86"/>
      <c r="E39" s="86"/>
      <c r="F39" s="86"/>
      <c r="G39" s="86"/>
      <c r="H39" s="86"/>
      <c r="I39" s="86"/>
      <c r="J39" s="86"/>
      <c r="K39" s="86"/>
      <c r="L39" s="86"/>
    </row>
    <row r="40" spans="1:12" ht="15" customHeight="1" x14ac:dyDescent="0.25">
      <c r="A40" s="29" t="s">
        <v>261</v>
      </c>
      <c r="B40" s="86">
        <f>B38/B7</f>
        <v>1.0897688256389464E-2</v>
      </c>
      <c r="C40" s="86">
        <f>C38/C7</f>
        <v>3.1210486982164859E-2</v>
      </c>
      <c r="D40" s="86">
        <f>D38/D7</f>
        <v>4.5437560553207391E-2</v>
      </c>
      <c r="E40" s="86">
        <f>E38/E7</f>
        <v>2.5728839084023562E-2</v>
      </c>
      <c r="F40" s="86"/>
      <c r="G40" s="86">
        <f>G38/G7</f>
        <v>7.4646754274003635E-2</v>
      </c>
      <c r="H40" s="86">
        <f>H38/H7</f>
        <v>9.7069097143734517E-2</v>
      </c>
      <c r="I40" s="86">
        <f>I38/I7</f>
        <v>3.3779276331914583E-2</v>
      </c>
      <c r="J40" s="86">
        <f>J38/J7</f>
        <v>3.4829472613552487E-2</v>
      </c>
      <c r="K40" s="86"/>
      <c r="L40" s="86">
        <f>L38/L7</f>
        <v>2.9383075401895324E-2</v>
      </c>
    </row>
    <row r="41" spans="1:12" ht="15" customHeight="1" x14ac:dyDescent="0.25">
      <c r="A41" s="30"/>
      <c r="B41" s="85"/>
      <c r="C41" s="85"/>
      <c r="D41" s="85"/>
      <c r="E41" s="85"/>
      <c r="F41" s="85"/>
      <c r="G41" s="85"/>
      <c r="H41" s="85"/>
      <c r="I41" s="85"/>
      <c r="J41" s="85"/>
      <c r="K41" s="85"/>
      <c r="L41" s="85"/>
    </row>
    <row r="42" spans="1:12" ht="15" customHeight="1" x14ac:dyDescent="0.25">
      <c r="A42" s="29" t="s">
        <v>262</v>
      </c>
      <c r="B42" s="85">
        <f>Cashflows!AK45</f>
        <v>589342</v>
      </c>
      <c r="C42" s="85">
        <f>Cashflows!AL45</f>
        <v>562546</v>
      </c>
      <c r="D42" s="85">
        <f>Cashflows!AM45</f>
        <v>407323</v>
      </c>
      <c r="E42" s="85">
        <f>Cashflows!AN45</f>
        <v>448200</v>
      </c>
      <c r="F42" s="85"/>
      <c r="G42" s="85">
        <f>Cashflows!AP45</f>
        <v>380663</v>
      </c>
      <c r="H42" s="85">
        <f>Cashflows!AQ45</f>
        <v>298183</v>
      </c>
      <c r="I42" s="85">
        <f>Cashflows!AR45</f>
        <v>269857</v>
      </c>
      <c r="J42" s="85">
        <f>Cashflows!AS45</f>
        <v>411256.76</v>
      </c>
      <c r="K42" s="85"/>
      <c r="L42" s="85">
        <f>Cashflows!AU45</f>
        <v>341862</v>
      </c>
    </row>
    <row r="43" spans="1:12" ht="15" customHeight="1" x14ac:dyDescent="0.25">
      <c r="A43" s="27"/>
      <c r="B43" s="86"/>
      <c r="C43" s="86"/>
      <c r="D43" s="86"/>
      <c r="E43" s="86"/>
      <c r="F43" s="86"/>
      <c r="G43" s="86"/>
      <c r="H43" s="86"/>
      <c r="I43" s="86"/>
      <c r="J43" s="86"/>
      <c r="K43" s="86"/>
      <c r="L43" s="86"/>
    </row>
    <row r="44" spans="1:12" ht="15" customHeight="1" x14ac:dyDescent="0.25">
      <c r="A44" s="29" t="s">
        <v>263</v>
      </c>
      <c r="B44" s="87">
        <v>2939</v>
      </c>
      <c r="C44" s="87">
        <v>3146</v>
      </c>
      <c r="D44" s="87">
        <v>3537</v>
      </c>
      <c r="E44" s="87">
        <v>3716</v>
      </c>
      <c r="F44" s="87"/>
      <c r="G44" s="87">
        <v>3636</v>
      </c>
      <c r="H44" s="87">
        <v>3514</v>
      </c>
      <c r="I44" s="87">
        <v>3487</v>
      </c>
      <c r="J44" s="87">
        <v>3563</v>
      </c>
      <c r="K44" s="87"/>
      <c r="L44" s="87">
        <v>3559</v>
      </c>
    </row>
    <row r="45" spans="1:12" ht="15" customHeight="1" x14ac:dyDescent="0.25">
      <c r="A45" s="27"/>
      <c r="B45" s="86"/>
      <c r="C45" s="86"/>
      <c r="D45" s="86"/>
      <c r="E45" s="86"/>
      <c r="F45" s="86"/>
      <c r="G45" s="86"/>
      <c r="H45" s="86"/>
      <c r="I45" s="86"/>
      <c r="J45" s="86"/>
      <c r="K45" s="86"/>
      <c r="L45" s="86"/>
    </row>
    <row r="46" spans="1:12" x14ac:dyDescent="0.25">
      <c r="A46" s="322" t="s">
        <v>264</v>
      </c>
      <c r="B46" s="320">
        <v>74</v>
      </c>
      <c r="C46" s="320">
        <v>74</v>
      </c>
      <c r="D46" s="320">
        <v>78</v>
      </c>
      <c r="E46" s="320">
        <v>71</v>
      </c>
      <c r="F46" s="87"/>
      <c r="G46" s="320">
        <v>74</v>
      </c>
      <c r="H46" s="320">
        <v>69</v>
      </c>
      <c r="I46" s="320">
        <v>61</v>
      </c>
      <c r="J46" s="320">
        <v>58</v>
      </c>
      <c r="K46" s="87"/>
      <c r="L46" s="320">
        <v>66</v>
      </c>
    </row>
    <row r="47" spans="1:12" x14ac:dyDescent="0.25">
      <c r="A47" s="323"/>
      <c r="B47" s="321"/>
      <c r="C47" s="321"/>
      <c r="D47" s="324"/>
      <c r="E47" s="324"/>
      <c r="F47" s="117"/>
      <c r="G47" s="321"/>
      <c r="H47" s="321"/>
      <c r="I47" s="324"/>
      <c r="J47" s="324"/>
      <c r="K47" s="117"/>
      <c r="L47" s="321"/>
    </row>
    <row r="48" spans="1:12" ht="15" customHeight="1" x14ac:dyDescent="0.25"/>
    <row r="49" spans="1:13" ht="15" hidden="1" customHeight="1" outlineLevel="1" x14ac:dyDescent="0.25">
      <c r="A49" s="5" t="s">
        <v>265</v>
      </c>
      <c r="B49" s="5"/>
      <c r="C49" s="5"/>
      <c r="D49" s="5"/>
      <c r="E49" s="5"/>
      <c r="F49" s="5"/>
      <c r="G49" s="5"/>
      <c r="H49" s="5"/>
      <c r="I49" s="5"/>
      <c r="J49" s="5"/>
      <c r="K49" s="5"/>
      <c r="L49" s="5"/>
    </row>
    <row r="50" spans="1:13" ht="15" hidden="1" customHeight="1" outlineLevel="1" x14ac:dyDescent="0.25"/>
    <row r="51" spans="1:13" ht="15" customHeight="1" collapsed="1" x14ac:dyDescent="0.25">
      <c r="A51" s="5" t="s">
        <v>266</v>
      </c>
    </row>
    <row r="52" spans="1:13" ht="15" customHeight="1" x14ac:dyDescent="0.25"/>
    <row r="53" spans="1:13" ht="15" customHeight="1" x14ac:dyDescent="0.25"/>
    <row r="54" spans="1:13" ht="15" customHeight="1" x14ac:dyDescent="0.25"/>
    <row r="55" spans="1:13" ht="15" customHeight="1" x14ac:dyDescent="0.25">
      <c r="B55" s="294"/>
      <c r="C55" s="294"/>
      <c r="D55" s="294"/>
      <c r="E55" s="294"/>
      <c r="F55" s="294"/>
      <c r="G55" s="294"/>
      <c r="H55" s="294"/>
      <c r="I55" s="294"/>
      <c r="J55" s="294"/>
      <c r="K55" s="294"/>
      <c r="L55" s="294"/>
      <c r="M55" s="317"/>
    </row>
    <row r="56" spans="1:13" ht="15" customHeight="1" x14ac:dyDescent="0.25"/>
    <row r="57" spans="1:13" ht="15" customHeight="1" x14ac:dyDescent="0.25"/>
    <row r="58" spans="1:13" ht="15" customHeight="1" x14ac:dyDescent="0.25"/>
    <row r="59" spans="1:13" ht="15" customHeight="1" x14ac:dyDescent="0.25"/>
    <row r="60" spans="1:13" ht="15" customHeight="1" x14ac:dyDescent="0.25"/>
    <row r="61" spans="1:13" ht="15" customHeight="1" x14ac:dyDescent="0.25"/>
    <row r="62" spans="1:13" ht="15" customHeight="1" x14ac:dyDescent="0.25"/>
    <row r="63" spans="1:13" ht="15" customHeight="1" x14ac:dyDescent="0.25"/>
    <row r="64" spans="1:13"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sheetData>
  <mergeCells count="10">
    <mergeCell ref="L46:L47"/>
    <mergeCell ref="A46:A47"/>
    <mergeCell ref="J46:J47"/>
    <mergeCell ref="I46:I47"/>
    <mergeCell ref="E46:E47"/>
    <mergeCell ref="H46:H47"/>
    <mergeCell ref="C46:C47"/>
    <mergeCell ref="B46:B47"/>
    <mergeCell ref="D46:D47"/>
    <mergeCell ref="G46:G47"/>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N22"/>
  <sheetViews>
    <sheetView showGridLines="0" zoomScale="106" zoomScaleNormal="106" workbookViewId="0">
      <pane xSplit="9" topLeftCell="AH1" activePane="topRight" state="frozen"/>
      <selection pane="topRight" activeCell="AJ24" sqref="AJ24"/>
    </sheetView>
  </sheetViews>
  <sheetFormatPr defaultColWidth="12.6640625" defaultRowHeight="13.2" outlineLevelCol="1" x14ac:dyDescent="0.25"/>
  <cols>
    <col min="1" max="1" width="71" style="142" bestFit="1" customWidth="1"/>
    <col min="2" max="9" width="15.6640625" style="142" hidden="1" customWidth="1" outlineLevel="1"/>
    <col min="10" max="11" width="15.6640625" style="142" hidden="1" customWidth="1" outlineLevel="1" collapsed="1"/>
    <col min="12" max="13" width="15.6640625" style="142" hidden="1" customWidth="1" outlineLevel="1"/>
    <col min="14" max="14" width="15.6640625" style="142" hidden="1" customWidth="1" outlineLevel="1" collapsed="1"/>
    <col min="15" max="21" width="15.6640625" style="142" hidden="1" customWidth="1" outlineLevel="1"/>
    <col min="22" max="22" width="15.6640625" style="142" hidden="1" customWidth="1" collapsed="1"/>
    <col min="23" max="23" width="15.6640625" style="142" hidden="1" customWidth="1"/>
    <col min="24" max="30" width="15.6640625" style="142" customWidth="1"/>
    <col min="31" max="38" width="15.6640625" style="147" customWidth="1"/>
    <col min="39" max="39" width="3.6640625" style="147" customWidth="1"/>
    <col min="40" max="40" width="12.6640625" style="147"/>
    <col min="41" max="16384" width="12.6640625" style="142"/>
  </cols>
  <sheetData>
    <row r="1" spans="1:38" x14ac:dyDescent="0.25">
      <c r="A1" s="145" t="s">
        <v>267</v>
      </c>
    </row>
    <row r="2" spans="1:38" ht="26.4" x14ac:dyDescent="0.25">
      <c r="A2" s="142" t="s">
        <v>268</v>
      </c>
      <c r="B2" s="229" t="s">
        <v>269</v>
      </c>
      <c r="C2" s="229" t="s">
        <v>270</v>
      </c>
      <c r="D2" s="229" t="s">
        <v>271</v>
      </c>
      <c r="E2" s="229" t="s">
        <v>272</v>
      </c>
      <c r="F2" s="229" t="s">
        <v>269</v>
      </c>
      <c r="G2" s="229" t="s">
        <v>270</v>
      </c>
      <c r="H2" s="229" t="s">
        <v>271</v>
      </c>
      <c r="I2" s="229" t="s">
        <v>272</v>
      </c>
      <c r="J2" s="229" t="s">
        <v>269</v>
      </c>
      <c r="K2" s="229" t="s">
        <v>270</v>
      </c>
      <c r="L2" s="229" t="s">
        <v>271</v>
      </c>
      <c r="M2" s="229" t="s">
        <v>272</v>
      </c>
      <c r="N2" s="229" t="s">
        <v>269</v>
      </c>
      <c r="O2" s="229" t="s">
        <v>270</v>
      </c>
      <c r="P2" s="229" t="s">
        <v>271</v>
      </c>
      <c r="Q2" s="229" t="s">
        <v>272</v>
      </c>
      <c r="R2" s="229" t="s">
        <v>269</v>
      </c>
      <c r="S2" s="229" t="s">
        <v>270</v>
      </c>
      <c r="T2" s="229" t="s">
        <v>271</v>
      </c>
      <c r="U2" s="229" t="s">
        <v>272</v>
      </c>
      <c r="V2" s="229" t="s">
        <v>269</v>
      </c>
      <c r="W2" s="229" t="s">
        <v>270</v>
      </c>
      <c r="X2" s="229" t="s">
        <v>271</v>
      </c>
      <c r="Y2" s="229" t="s">
        <v>272</v>
      </c>
      <c r="Z2" s="229" t="s">
        <v>269</v>
      </c>
      <c r="AA2" s="229" t="s">
        <v>270</v>
      </c>
      <c r="AB2" s="229" t="s">
        <v>271</v>
      </c>
      <c r="AC2" s="229" t="s">
        <v>272</v>
      </c>
      <c r="AD2" s="229" t="s">
        <v>269</v>
      </c>
      <c r="AE2" s="251" t="s">
        <v>270</v>
      </c>
      <c r="AF2" s="251" t="s">
        <v>271</v>
      </c>
      <c r="AG2" s="251" t="s">
        <v>272</v>
      </c>
      <c r="AH2" s="251" t="s">
        <v>269</v>
      </c>
      <c r="AI2" s="251" t="s">
        <v>270</v>
      </c>
      <c r="AJ2" s="251" t="s">
        <v>271</v>
      </c>
      <c r="AK2" s="251" t="s">
        <v>272</v>
      </c>
      <c r="AL2" s="251" t="s">
        <v>269</v>
      </c>
    </row>
    <row r="3" spans="1:38" ht="15" customHeight="1" x14ac:dyDescent="0.25">
      <c r="B3" s="230">
        <v>42094</v>
      </c>
      <c r="C3" s="231">
        <v>42185</v>
      </c>
      <c r="D3" s="231">
        <v>42277</v>
      </c>
      <c r="E3" s="231">
        <v>42369</v>
      </c>
      <c r="F3" s="230">
        <v>42460</v>
      </c>
      <c r="G3" s="231">
        <v>42551</v>
      </c>
      <c r="H3" s="231">
        <v>42643</v>
      </c>
      <c r="I3" s="231">
        <v>42735</v>
      </c>
      <c r="J3" s="230">
        <v>42825</v>
      </c>
      <c r="K3" s="231">
        <v>42916</v>
      </c>
      <c r="L3" s="231">
        <v>43008</v>
      </c>
      <c r="M3" s="231">
        <v>43100</v>
      </c>
      <c r="N3" s="230">
        <v>43190</v>
      </c>
      <c r="O3" s="231">
        <v>43281</v>
      </c>
      <c r="P3" s="231" t="s">
        <v>273</v>
      </c>
      <c r="Q3" s="231">
        <v>43465</v>
      </c>
      <c r="R3" s="230">
        <v>43555</v>
      </c>
      <c r="S3" s="230">
        <v>43646</v>
      </c>
      <c r="T3" s="231">
        <v>43738</v>
      </c>
      <c r="U3" s="231">
        <v>43830</v>
      </c>
      <c r="V3" s="230">
        <v>43921</v>
      </c>
      <c r="W3" s="230">
        <v>44012</v>
      </c>
      <c r="X3" s="231">
        <v>44104</v>
      </c>
      <c r="Y3" s="231">
        <v>44196</v>
      </c>
      <c r="Z3" s="230">
        <v>44286</v>
      </c>
      <c r="AA3" s="230">
        <v>44377</v>
      </c>
      <c r="AB3" s="231">
        <v>44469</v>
      </c>
      <c r="AC3" s="231">
        <v>44561</v>
      </c>
      <c r="AD3" s="230">
        <v>44651</v>
      </c>
      <c r="AE3" s="252">
        <v>44742</v>
      </c>
      <c r="AF3" s="253">
        <v>44834</v>
      </c>
      <c r="AG3" s="253">
        <v>44926</v>
      </c>
      <c r="AH3" s="252">
        <v>45016</v>
      </c>
      <c r="AI3" s="252">
        <v>45107</v>
      </c>
      <c r="AJ3" s="253">
        <v>45199</v>
      </c>
      <c r="AK3" s="253">
        <v>45291</v>
      </c>
      <c r="AL3" s="252">
        <v>45382</v>
      </c>
    </row>
    <row r="4" spans="1:38" x14ac:dyDescent="0.25">
      <c r="A4" s="142" t="s">
        <v>274</v>
      </c>
      <c r="B4" s="203">
        <v>60902695</v>
      </c>
      <c r="C4" s="232">
        <f>B4</f>
        <v>60902695</v>
      </c>
      <c r="D4" s="232">
        <f>B4</f>
        <v>60902695</v>
      </c>
      <c r="E4" s="232">
        <f>B4</f>
        <v>60902695</v>
      </c>
      <c r="F4" s="232">
        <f>E12</f>
        <v>62470881</v>
      </c>
      <c r="G4" s="232">
        <f>F4</f>
        <v>62470881</v>
      </c>
      <c r="H4" s="232">
        <f>F4</f>
        <v>62470881</v>
      </c>
      <c r="I4" s="232">
        <f>F4</f>
        <v>62470881</v>
      </c>
      <c r="J4" s="232">
        <f>I12</f>
        <v>63978204</v>
      </c>
      <c r="K4" s="232">
        <f>J4</f>
        <v>63978204</v>
      </c>
      <c r="L4" s="232">
        <f>J4</f>
        <v>63978204</v>
      </c>
      <c r="M4" s="232">
        <f>J4</f>
        <v>63978204</v>
      </c>
      <c r="N4" s="232">
        <f>M12</f>
        <v>66085097</v>
      </c>
      <c r="O4" s="232">
        <f>N4</f>
        <v>66085097</v>
      </c>
      <c r="P4" s="232">
        <f>O4</f>
        <v>66085097</v>
      </c>
      <c r="Q4" s="232">
        <f>P4</f>
        <v>66085097</v>
      </c>
      <c r="R4" s="232">
        <f>Q12</f>
        <v>64249084</v>
      </c>
      <c r="S4" s="232">
        <f>R4</f>
        <v>64249084</v>
      </c>
      <c r="T4" s="232">
        <f>S4</f>
        <v>64249084</v>
      </c>
      <c r="U4" s="232">
        <f>T4</f>
        <v>64249084</v>
      </c>
      <c r="V4" s="232">
        <f>U12</f>
        <v>62293508</v>
      </c>
      <c r="W4" s="232">
        <f>V4</f>
        <v>62293508</v>
      </c>
      <c r="X4" s="232">
        <f>W4</f>
        <v>62293508</v>
      </c>
      <c r="Y4" s="232">
        <f>X4</f>
        <v>62293508</v>
      </c>
      <c r="Z4" s="232">
        <f>Y12</f>
        <v>60639570</v>
      </c>
      <c r="AA4" s="232">
        <f>Z4</f>
        <v>60639570</v>
      </c>
      <c r="AB4" s="232">
        <f>AA4</f>
        <v>60639570</v>
      </c>
      <c r="AC4" s="232">
        <f>AB4</f>
        <v>60639570</v>
      </c>
      <c r="AD4" s="232">
        <f>AC12</f>
        <v>60675474</v>
      </c>
      <c r="AE4" s="233">
        <f>AD4</f>
        <v>60675474</v>
      </c>
      <c r="AF4" s="233">
        <f>AE4</f>
        <v>60675474</v>
      </c>
      <c r="AG4" s="233">
        <f>AF4</f>
        <v>60675474</v>
      </c>
      <c r="AH4" s="233">
        <f>AG12</f>
        <v>57263624</v>
      </c>
      <c r="AI4" s="233">
        <f>AH4</f>
        <v>57263624</v>
      </c>
      <c r="AJ4" s="233">
        <f>AI4</f>
        <v>57263624</v>
      </c>
      <c r="AK4" s="233">
        <f>AJ4</f>
        <v>57263624</v>
      </c>
      <c r="AL4" s="233">
        <f>AK12</f>
        <v>55765091</v>
      </c>
    </row>
    <row r="5" spans="1:38" ht="15" customHeight="1" x14ac:dyDescent="0.25">
      <c r="A5" s="142" t="s">
        <v>275</v>
      </c>
      <c r="B5" s="166">
        <v>271473</v>
      </c>
      <c r="C5" s="166">
        <v>545983</v>
      </c>
      <c r="D5" s="166">
        <v>759613</v>
      </c>
      <c r="E5" s="166">
        <v>932804</v>
      </c>
      <c r="F5" s="166">
        <v>139132</v>
      </c>
      <c r="G5" s="166">
        <v>457340</v>
      </c>
      <c r="H5" s="166">
        <v>693041</v>
      </c>
      <c r="I5" s="166">
        <v>866911</v>
      </c>
      <c r="J5" s="166">
        <v>210990</v>
      </c>
      <c r="K5" s="166">
        <v>633033</v>
      </c>
      <c r="L5" s="166">
        <v>903547</v>
      </c>
      <c r="M5" s="166">
        <v>1164832</v>
      </c>
      <c r="N5" s="166">
        <v>75278</v>
      </c>
      <c r="O5" s="166">
        <v>169379</v>
      </c>
      <c r="P5" s="166">
        <v>446274</v>
      </c>
      <c r="Q5" s="166">
        <v>371793</v>
      </c>
      <c r="R5" s="166">
        <v>87693</v>
      </c>
      <c r="S5" s="166">
        <v>210783</v>
      </c>
      <c r="T5" s="166">
        <v>351785</v>
      </c>
      <c r="U5" s="166">
        <v>56881</v>
      </c>
      <c r="V5" s="166">
        <v>-602507</v>
      </c>
      <c r="W5" s="166">
        <v>-739633</v>
      </c>
      <c r="X5" s="166">
        <v>-1234163</v>
      </c>
      <c r="Y5" s="166">
        <v>-1417028</v>
      </c>
      <c r="Z5" s="166">
        <v>102104</v>
      </c>
      <c r="AA5" s="166">
        <v>63210</v>
      </c>
      <c r="AB5" s="166">
        <v>120043</v>
      </c>
      <c r="AC5" s="166">
        <v>77876</v>
      </c>
      <c r="AD5" s="166">
        <v>62825</v>
      </c>
      <c r="AE5" s="199">
        <v>-187045</v>
      </c>
      <c r="AF5" s="199">
        <v>-243877</v>
      </c>
      <c r="AG5" s="199">
        <v>-670767.480769224</v>
      </c>
      <c r="AH5" s="199">
        <v>-1007442</v>
      </c>
      <c r="AI5" s="199">
        <v>-1168737</v>
      </c>
      <c r="AJ5" s="199">
        <v>-1090406</v>
      </c>
      <c r="AK5" s="199">
        <v>-1092966</v>
      </c>
      <c r="AL5" s="199">
        <v>-615469</v>
      </c>
    </row>
    <row r="6" spans="1:38" ht="32.25" customHeight="1" x14ac:dyDescent="0.25">
      <c r="A6" s="234" t="s">
        <v>276</v>
      </c>
      <c r="B6" s="235">
        <f t="shared" ref="B6:E6" si="0">SUM(B4:B5)</f>
        <v>61174168</v>
      </c>
      <c r="C6" s="235">
        <f t="shared" si="0"/>
        <v>61448678</v>
      </c>
      <c r="D6" s="235">
        <f t="shared" si="0"/>
        <v>61662308</v>
      </c>
      <c r="E6" s="235">
        <f t="shared" si="0"/>
        <v>61835499</v>
      </c>
      <c r="F6" s="235">
        <f t="shared" ref="F6:U6" si="1">SUM(F4:F5)</f>
        <v>62610013</v>
      </c>
      <c r="G6" s="235">
        <f t="shared" si="1"/>
        <v>62928221</v>
      </c>
      <c r="H6" s="235">
        <f t="shared" si="1"/>
        <v>63163922</v>
      </c>
      <c r="I6" s="235">
        <f t="shared" si="1"/>
        <v>63337792</v>
      </c>
      <c r="J6" s="235">
        <f t="shared" si="1"/>
        <v>64189194</v>
      </c>
      <c r="K6" s="235">
        <f t="shared" si="1"/>
        <v>64611237</v>
      </c>
      <c r="L6" s="235">
        <f t="shared" si="1"/>
        <v>64881751</v>
      </c>
      <c r="M6" s="235">
        <f t="shared" si="1"/>
        <v>65143036</v>
      </c>
      <c r="N6" s="235">
        <f t="shared" si="1"/>
        <v>66160375</v>
      </c>
      <c r="O6" s="235">
        <f t="shared" si="1"/>
        <v>66254476</v>
      </c>
      <c r="P6" s="235">
        <f t="shared" si="1"/>
        <v>66531371</v>
      </c>
      <c r="Q6" s="235">
        <f t="shared" si="1"/>
        <v>66456890</v>
      </c>
      <c r="R6" s="235">
        <f t="shared" si="1"/>
        <v>64336777</v>
      </c>
      <c r="S6" s="235">
        <f t="shared" si="1"/>
        <v>64459867</v>
      </c>
      <c r="T6" s="235">
        <f t="shared" si="1"/>
        <v>64600869</v>
      </c>
      <c r="U6" s="235">
        <f t="shared" si="1"/>
        <v>64305965</v>
      </c>
      <c r="V6" s="235">
        <f t="shared" ref="V6:Y6" si="2">SUM(V4:V5)</f>
        <v>61691001</v>
      </c>
      <c r="W6" s="235">
        <f t="shared" si="2"/>
        <v>61553875</v>
      </c>
      <c r="X6" s="235">
        <f t="shared" si="2"/>
        <v>61059345</v>
      </c>
      <c r="Y6" s="235">
        <f t="shared" si="2"/>
        <v>60876480</v>
      </c>
      <c r="Z6" s="235">
        <f t="shared" ref="Z6:AC6" si="3">SUM(Z4:Z5)</f>
        <v>60741674</v>
      </c>
      <c r="AA6" s="235">
        <f t="shared" si="3"/>
        <v>60702780</v>
      </c>
      <c r="AB6" s="235">
        <f t="shared" si="3"/>
        <v>60759613</v>
      </c>
      <c r="AC6" s="235">
        <f t="shared" si="3"/>
        <v>60717446</v>
      </c>
      <c r="AD6" s="235">
        <f t="shared" ref="AD6:AE6" si="4">SUM(AD4:AD5)</f>
        <v>60738299</v>
      </c>
      <c r="AE6" s="236">
        <f t="shared" si="4"/>
        <v>60488429</v>
      </c>
      <c r="AF6" s="236">
        <f>SUM(AF4:AF5)</f>
        <v>60431597</v>
      </c>
      <c r="AG6" s="236">
        <f>SUM(AG4:AG5)</f>
        <v>60004706.519230776</v>
      </c>
      <c r="AH6" s="236">
        <f t="shared" ref="AH6" si="5">SUM(AH4:AH5)</f>
        <v>56256182</v>
      </c>
      <c r="AI6" s="236">
        <f>SUM(AI4:AI5)</f>
        <v>56094887</v>
      </c>
      <c r="AJ6" s="236">
        <f>SUM(AJ4:AJ5)</f>
        <v>56173218</v>
      </c>
      <c r="AK6" s="236">
        <f>SUM(AK4:AK5)</f>
        <v>56170658</v>
      </c>
      <c r="AL6" s="236">
        <f t="shared" ref="AL6" si="6">SUM(AL4:AL5)</f>
        <v>55149622</v>
      </c>
    </row>
    <row r="7" spans="1:38" ht="32.25" customHeight="1" x14ac:dyDescent="0.25">
      <c r="A7" s="142" t="s">
        <v>277</v>
      </c>
      <c r="B7" s="166">
        <v>3567774</v>
      </c>
      <c r="C7" s="166">
        <v>3564009</v>
      </c>
      <c r="D7" s="166">
        <v>3433382</v>
      </c>
      <c r="E7" s="166">
        <v>3260987</v>
      </c>
      <c r="F7" s="166">
        <v>2231121</v>
      </c>
      <c r="G7" s="166">
        <v>2304717</v>
      </c>
      <c r="H7" s="166">
        <v>2265835</v>
      </c>
      <c r="I7" s="166">
        <v>2295678</v>
      </c>
      <c r="J7" s="166">
        <v>3093818</v>
      </c>
      <c r="K7" s="166">
        <v>3098552</v>
      </c>
      <c r="L7" s="166">
        <v>2995040</v>
      </c>
      <c r="M7" s="166">
        <v>2708935</v>
      </c>
      <c r="N7" s="166">
        <v>1309363</v>
      </c>
      <c r="O7" s="166">
        <v>1225037</v>
      </c>
      <c r="P7" s="166">
        <v>1333431</v>
      </c>
      <c r="Q7" s="166">
        <v>1206014</v>
      </c>
      <c r="R7" s="166">
        <v>1704519</v>
      </c>
      <c r="S7" s="166">
        <v>1373775</v>
      </c>
      <c r="T7" s="166">
        <v>1315350</v>
      </c>
      <c r="U7" s="166">
        <v>1292623</v>
      </c>
      <c r="V7" s="166">
        <v>434581</v>
      </c>
      <c r="W7" s="166">
        <v>404624</v>
      </c>
      <c r="X7" s="166">
        <v>585482</v>
      </c>
      <c r="Y7" s="166">
        <v>942113</v>
      </c>
      <c r="Z7" s="166">
        <v>3335736</v>
      </c>
      <c r="AA7" s="166">
        <v>3668823</v>
      </c>
      <c r="AB7" s="166">
        <v>3553913</v>
      </c>
      <c r="AC7" s="166">
        <v>3514191</v>
      </c>
      <c r="AD7" s="166">
        <v>2875251</v>
      </c>
      <c r="AE7" s="199">
        <v>0</v>
      </c>
      <c r="AF7" s="199">
        <v>0</v>
      </c>
      <c r="AG7" s="199">
        <v>2755490.7998717302</v>
      </c>
      <c r="AH7" s="199">
        <v>0</v>
      </c>
      <c r="AI7" s="199">
        <v>0</v>
      </c>
      <c r="AJ7" s="199">
        <v>0</v>
      </c>
      <c r="AK7" s="199">
        <v>4060969</v>
      </c>
      <c r="AL7" s="199">
        <v>4183260</v>
      </c>
    </row>
    <row r="8" spans="1:38" ht="15" customHeight="1" x14ac:dyDescent="0.25">
      <c r="A8" s="234" t="s">
        <v>278</v>
      </c>
      <c r="B8" s="235">
        <f t="shared" ref="B8:E8" si="7">SUM(B6:B7)</f>
        <v>64741942</v>
      </c>
      <c r="C8" s="235">
        <f t="shared" si="7"/>
        <v>65012687</v>
      </c>
      <c r="D8" s="235">
        <f t="shared" si="7"/>
        <v>65095690</v>
      </c>
      <c r="E8" s="235">
        <f t="shared" si="7"/>
        <v>65096486</v>
      </c>
      <c r="F8" s="235">
        <f t="shared" ref="F8:U8" si="8">SUM(F6:F7)</f>
        <v>64841134</v>
      </c>
      <c r="G8" s="235">
        <f t="shared" si="8"/>
        <v>65232938</v>
      </c>
      <c r="H8" s="235">
        <f t="shared" si="8"/>
        <v>65429757</v>
      </c>
      <c r="I8" s="235">
        <f t="shared" si="8"/>
        <v>65633470</v>
      </c>
      <c r="J8" s="235">
        <f t="shared" si="8"/>
        <v>67283012</v>
      </c>
      <c r="K8" s="235">
        <f t="shared" si="8"/>
        <v>67709789</v>
      </c>
      <c r="L8" s="235">
        <f t="shared" si="8"/>
        <v>67876791</v>
      </c>
      <c r="M8" s="235">
        <f t="shared" si="8"/>
        <v>67851971</v>
      </c>
      <c r="N8" s="235">
        <f t="shared" si="8"/>
        <v>67469738</v>
      </c>
      <c r="O8" s="235">
        <f t="shared" si="8"/>
        <v>67479513</v>
      </c>
      <c r="P8" s="235">
        <f t="shared" si="8"/>
        <v>67864802</v>
      </c>
      <c r="Q8" s="235">
        <f t="shared" si="8"/>
        <v>67662904</v>
      </c>
      <c r="R8" s="235">
        <f t="shared" si="8"/>
        <v>66041296</v>
      </c>
      <c r="S8" s="235">
        <f t="shared" si="8"/>
        <v>65833642</v>
      </c>
      <c r="T8" s="235">
        <f t="shared" si="8"/>
        <v>65916219</v>
      </c>
      <c r="U8" s="235">
        <f t="shared" si="8"/>
        <v>65598588</v>
      </c>
      <c r="V8" s="235">
        <f t="shared" ref="V8:Y8" si="9">SUM(V6:V7)</f>
        <v>62125582</v>
      </c>
      <c r="W8" s="235">
        <f t="shared" si="9"/>
        <v>61958499</v>
      </c>
      <c r="X8" s="235">
        <f t="shared" si="9"/>
        <v>61644827</v>
      </c>
      <c r="Y8" s="235">
        <f t="shared" si="9"/>
        <v>61818593</v>
      </c>
      <c r="Z8" s="235">
        <f t="shared" ref="Z8:AC8" si="10">SUM(Z6:Z7)</f>
        <v>64077410</v>
      </c>
      <c r="AA8" s="235">
        <f t="shared" si="10"/>
        <v>64371603</v>
      </c>
      <c r="AB8" s="235">
        <f t="shared" si="10"/>
        <v>64313526</v>
      </c>
      <c r="AC8" s="235">
        <f t="shared" si="10"/>
        <v>64231637</v>
      </c>
      <c r="AD8" s="235">
        <f t="shared" ref="AD8:AE8" si="11">SUM(AD6:AD7)</f>
        <v>63613550</v>
      </c>
      <c r="AE8" s="236">
        <f t="shared" si="11"/>
        <v>60488429</v>
      </c>
      <c r="AF8" s="236">
        <f>SUM(AF6:AF7)</f>
        <v>60431597</v>
      </c>
      <c r="AG8" s="236">
        <f>SUM(AG6:AG7)</f>
        <v>62760197.319102503</v>
      </c>
      <c r="AH8" s="236">
        <f t="shared" ref="AH8:AI8" si="12">SUM(AH6:AH7)</f>
        <v>56256182</v>
      </c>
      <c r="AI8" s="236">
        <f t="shared" si="12"/>
        <v>56094887</v>
      </c>
      <c r="AJ8" s="236">
        <f>SUM(AJ6:AJ7)</f>
        <v>56173218</v>
      </c>
      <c r="AK8" s="236">
        <f>SUM(AK6:AK7)</f>
        <v>60231627</v>
      </c>
      <c r="AL8" s="236">
        <f t="shared" ref="AL8" si="13">SUM(AL6:AL7)</f>
        <v>59332882</v>
      </c>
    </row>
    <row r="9" spans="1:38" ht="15" customHeight="1" x14ac:dyDescent="0.25"/>
    <row r="10" spans="1:38" ht="15" customHeight="1" x14ac:dyDescent="0.25">
      <c r="A10" s="234" t="s">
        <v>279</v>
      </c>
      <c r="B10" s="237">
        <v>61517945</v>
      </c>
      <c r="C10" s="237">
        <v>61913692</v>
      </c>
      <c r="D10" s="237">
        <v>62249428</v>
      </c>
      <c r="E10" s="237">
        <v>62470881</v>
      </c>
      <c r="F10" s="237">
        <v>62896180</v>
      </c>
      <c r="G10" s="237">
        <v>63562863</v>
      </c>
      <c r="H10" s="237">
        <v>63760491</v>
      </c>
      <c r="I10" s="237">
        <v>63978204</v>
      </c>
      <c r="J10" s="237">
        <v>64665637</v>
      </c>
      <c r="K10" s="237">
        <v>65291977</v>
      </c>
      <c r="L10" s="237">
        <v>65551174</v>
      </c>
      <c r="M10" s="237">
        <v>66085097</v>
      </c>
      <c r="N10" s="237">
        <v>66248351</v>
      </c>
      <c r="O10" s="237">
        <v>66861045</v>
      </c>
      <c r="P10" s="237">
        <v>67231036</v>
      </c>
      <c r="Q10" s="237">
        <v>67708203</v>
      </c>
      <c r="R10" s="237">
        <v>66142511</v>
      </c>
      <c r="S10" s="237">
        <v>66161523</v>
      </c>
      <c r="T10" s="237">
        <v>66173983</v>
      </c>
      <c r="U10" s="237">
        <v>66197181</v>
      </c>
      <c r="V10" s="237">
        <v>66202881</v>
      </c>
      <c r="W10" s="237">
        <v>66204881</v>
      </c>
      <c r="X10" s="237">
        <v>66083172</v>
      </c>
      <c r="Y10" s="237">
        <v>66272106</v>
      </c>
      <c r="Z10" s="237">
        <v>66391906</v>
      </c>
      <c r="AA10" s="237">
        <v>66697360</v>
      </c>
      <c r="AB10" s="237">
        <v>66315019</v>
      </c>
      <c r="AC10" s="237">
        <v>65883347</v>
      </c>
      <c r="AD10" s="237">
        <v>65905394</v>
      </c>
      <c r="AE10" s="238">
        <v>65794032</v>
      </c>
      <c r="AF10" s="238">
        <v>64985388</v>
      </c>
      <c r="AG10" s="238">
        <v>63248728</v>
      </c>
      <c r="AH10" s="238">
        <v>63316696</v>
      </c>
      <c r="AI10" s="238">
        <v>63337453</v>
      </c>
      <c r="AJ10" s="238">
        <v>63350663</v>
      </c>
      <c r="AK10" s="238">
        <v>61165663</v>
      </c>
      <c r="AL10" s="238">
        <v>61181001</v>
      </c>
    </row>
    <row r="11" spans="1:38" ht="15" customHeight="1" x14ac:dyDescent="0.25">
      <c r="A11" s="142" t="s">
        <v>280</v>
      </c>
      <c r="B11" s="239">
        <v>0</v>
      </c>
      <c r="C11" s="239">
        <v>0</v>
      </c>
      <c r="D11" s="239">
        <v>0</v>
      </c>
      <c r="E11" s="239">
        <v>0</v>
      </c>
      <c r="F11" s="239">
        <v>0</v>
      </c>
      <c r="G11" s="239">
        <v>0</v>
      </c>
      <c r="H11" s="239">
        <v>0</v>
      </c>
      <c r="I11" s="239">
        <v>0</v>
      </c>
      <c r="J11" s="239">
        <v>0</v>
      </c>
      <c r="K11" s="239">
        <v>0</v>
      </c>
      <c r="L11" s="239">
        <v>0</v>
      </c>
      <c r="M11" s="239">
        <v>0</v>
      </c>
      <c r="N11" s="239">
        <v>0</v>
      </c>
      <c r="O11" s="239">
        <v>0</v>
      </c>
      <c r="P11" s="239">
        <v>0</v>
      </c>
      <c r="Q11" s="239">
        <v>-3459119</v>
      </c>
      <c r="R11" s="239">
        <v>-1672404</v>
      </c>
      <c r="S11" s="239">
        <v>-1118969</v>
      </c>
      <c r="T11" s="239">
        <v>-1807251</v>
      </c>
      <c r="U11" s="239">
        <v>-3903673</v>
      </c>
      <c r="V11" s="239">
        <v>-4533650</v>
      </c>
      <c r="W11" s="239">
        <v>-5589408</v>
      </c>
      <c r="X11" s="239">
        <v>-5989258</v>
      </c>
      <c r="Y11" s="239">
        <v>-5632536</v>
      </c>
      <c r="Z11" s="239">
        <v>-5597601</v>
      </c>
      <c r="AA11" s="239">
        <v>-6080008</v>
      </c>
      <c r="AB11" s="239">
        <v>-5544527</v>
      </c>
      <c r="AC11" s="239">
        <v>-5207873</v>
      </c>
      <c r="AD11" s="239">
        <v>-5327644</v>
      </c>
      <c r="AE11" s="240">
        <v>-5265393</v>
      </c>
      <c r="AF11" s="240">
        <v>-5049409</v>
      </c>
      <c r="AG11" s="240">
        <v>-5985104</v>
      </c>
      <c r="AH11" s="240">
        <v>-7323153</v>
      </c>
      <c r="AI11" s="240">
        <v>-7412578</v>
      </c>
      <c r="AJ11" s="240">
        <v>-7094574</v>
      </c>
      <c r="AK11" s="240">
        <v>-5400572</v>
      </c>
      <c r="AL11" s="240">
        <v>-6617119</v>
      </c>
    </row>
    <row r="12" spans="1:38" ht="15" customHeight="1" x14ac:dyDescent="0.25">
      <c r="A12" s="234" t="s">
        <v>281</v>
      </c>
      <c r="B12" s="241">
        <f>B10+B11</f>
        <v>61517945</v>
      </c>
      <c r="C12" s="241">
        <f t="shared" ref="C12:U12" si="14">C10+C11</f>
        <v>61913692</v>
      </c>
      <c r="D12" s="241">
        <f t="shared" si="14"/>
        <v>62249428</v>
      </c>
      <c r="E12" s="241">
        <f t="shared" si="14"/>
        <v>62470881</v>
      </c>
      <c r="F12" s="241">
        <f t="shared" si="14"/>
        <v>62896180</v>
      </c>
      <c r="G12" s="241">
        <f t="shared" si="14"/>
        <v>63562863</v>
      </c>
      <c r="H12" s="241">
        <f t="shared" si="14"/>
        <v>63760491</v>
      </c>
      <c r="I12" s="241">
        <f t="shared" si="14"/>
        <v>63978204</v>
      </c>
      <c r="J12" s="241">
        <f t="shared" si="14"/>
        <v>64665637</v>
      </c>
      <c r="K12" s="241">
        <f t="shared" si="14"/>
        <v>65291977</v>
      </c>
      <c r="L12" s="241">
        <f t="shared" si="14"/>
        <v>65551174</v>
      </c>
      <c r="M12" s="241">
        <f t="shared" si="14"/>
        <v>66085097</v>
      </c>
      <c r="N12" s="241">
        <f t="shared" si="14"/>
        <v>66248351</v>
      </c>
      <c r="O12" s="241">
        <f t="shared" si="14"/>
        <v>66861045</v>
      </c>
      <c r="P12" s="241">
        <f t="shared" si="14"/>
        <v>67231036</v>
      </c>
      <c r="Q12" s="241">
        <f t="shared" si="14"/>
        <v>64249084</v>
      </c>
      <c r="R12" s="241">
        <f t="shared" si="14"/>
        <v>64470107</v>
      </c>
      <c r="S12" s="241">
        <f t="shared" si="14"/>
        <v>65042554</v>
      </c>
      <c r="T12" s="241">
        <f t="shared" si="14"/>
        <v>64366732</v>
      </c>
      <c r="U12" s="241">
        <f t="shared" si="14"/>
        <v>62293508</v>
      </c>
      <c r="V12" s="241">
        <f t="shared" ref="V12:Y12" si="15">V10+V11</f>
        <v>61669231</v>
      </c>
      <c r="W12" s="241">
        <f t="shared" si="15"/>
        <v>60615473</v>
      </c>
      <c r="X12" s="241">
        <f t="shared" si="15"/>
        <v>60093914</v>
      </c>
      <c r="Y12" s="241">
        <f t="shared" si="15"/>
        <v>60639570</v>
      </c>
      <c r="Z12" s="241">
        <f t="shared" ref="Z12:AC12" si="16">Z10+Z11</f>
        <v>60794305</v>
      </c>
      <c r="AA12" s="241">
        <f t="shared" si="16"/>
        <v>60617352</v>
      </c>
      <c r="AB12" s="241">
        <f t="shared" si="16"/>
        <v>60770492</v>
      </c>
      <c r="AC12" s="241">
        <f t="shared" si="16"/>
        <v>60675474</v>
      </c>
      <c r="AD12" s="241">
        <v>60577750</v>
      </c>
      <c r="AE12" s="242">
        <f>AE10+AE11</f>
        <v>60528639</v>
      </c>
      <c r="AF12" s="242">
        <f>SUM(AF11,AF10)</f>
        <v>59935979</v>
      </c>
      <c r="AG12" s="242">
        <f t="shared" ref="AG12:AH12" si="17">AG10+AG11</f>
        <v>57263624</v>
      </c>
      <c r="AH12" s="242">
        <f t="shared" si="17"/>
        <v>55993543</v>
      </c>
      <c r="AI12" s="242">
        <f>AI10+AI11</f>
        <v>55924875</v>
      </c>
      <c r="AJ12" s="242">
        <f>SUM(AJ11,AJ10)</f>
        <v>56256089</v>
      </c>
      <c r="AK12" s="242">
        <f t="shared" ref="AK12:AL12" si="18">AK10+AK11</f>
        <v>55765091</v>
      </c>
      <c r="AL12" s="242">
        <f t="shared" si="18"/>
        <v>54563882</v>
      </c>
    </row>
    <row r="13" spans="1:38" ht="15" customHeight="1" x14ac:dyDescent="0.25">
      <c r="A13" s="142" t="s">
        <v>282</v>
      </c>
      <c r="B13" s="239">
        <v>7769195</v>
      </c>
      <c r="C13" s="239">
        <v>7119504</v>
      </c>
      <c r="D13" s="239">
        <v>6582870</v>
      </c>
      <c r="E13" s="239">
        <v>7798348</v>
      </c>
      <c r="F13" s="239">
        <v>7469069</v>
      </c>
      <c r="G13" s="239">
        <v>8198113</v>
      </c>
      <c r="H13" s="239">
        <v>8165801</v>
      </c>
      <c r="I13" s="239">
        <v>8391496</v>
      </c>
      <c r="J13" s="239">
        <v>7825371</v>
      </c>
      <c r="K13" s="239">
        <f>8351628+135500</f>
        <v>8487128</v>
      </c>
      <c r="L13" s="239">
        <v>8194498</v>
      </c>
      <c r="M13" s="239">
        <v>7591493</v>
      </c>
      <c r="N13" s="239">
        <v>9370543</v>
      </c>
      <c r="O13" s="239">
        <v>8477469</v>
      </c>
      <c r="P13" s="239">
        <v>8368660</v>
      </c>
      <c r="Q13" s="239">
        <v>8259272</v>
      </c>
      <c r="R13" s="239">
        <v>8000740</v>
      </c>
      <c r="S13" s="239">
        <v>7458330</v>
      </c>
      <c r="T13" s="239">
        <v>8494732</v>
      </c>
      <c r="U13" s="239">
        <v>7914860</v>
      </c>
      <c r="V13" s="239">
        <v>6982753</v>
      </c>
      <c r="W13" s="239">
        <v>8341925</v>
      </c>
      <c r="X13" s="239">
        <v>7581847</v>
      </c>
      <c r="Y13" s="239">
        <v>7400024</v>
      </c>
      <c r="Z13" s="239">
        <v>7458737</v>
      </c>
      <c r="AA13" s="239">
        <v>8438680</v>
      </c>
      <c r="AB13" s="239">
        <v>6861312</v>
      </c>
      <c r="AC13" s="239">
        <v>6213932</v>
      </c>
      <c r="AD13" s="239">
        <v>6361622</v>
      </c>
      <c r="AE13" s="240">
        <v>6874991</v>
      </c>
      <c r="AF13" s="240">
        <v>9403211</v>
      </c>
      <c r="AG13" s="240">
        <v>9507770</v>
      </c>
      <c r="AH13" s="240">
        <v>9709019</v>
      </c>
      <c r="AI13" s="240">
        <v>9340335</v>
      </c>
      <c r="AJ13" s="240">
        <v>8341387</v>
      </c>
      <c r="AK13" s="240">
        <v>8471113</v>
      </c>
      <c r="AL13" s="240">
        <v>8851780</v>
      </c>
    </row>
    <row r="14" spans="1:38" ht="15" customHeight="1" x14ac:dyDescent="0.25">
      <c r="A14" s="234" t="s">
        <v>283</v>
      </c>
      <c r="B14" s="235">
        <f>SUM(B12:B13)</f>
        <v>69287140</v>
      </c>
      <c r="C14" s="235">
        <f t="shared" ref="C14:U14" si="19">SUM(C12:C13)</f>
        <v>69033196</v>
      </c>
      <c r="D14" s="235">
        <f t="shared" si="19"/>
        <v>68832298</v>
      </c>
      <c r="E14" s="235">
        <f t="shared" si="19"/>
        <v>70269229</v>
      </c>
      <c r="F14" s="235">
        <f t="shared" si="19"/>
        <v>70365249</v>
      </c>
      <c r="G14" s="235">
        <f t="shared" si="19"/>
        <v>71760976</v>
      </c>
      <c r="H14" s="235">
        <f t="shared" si="19"/>
        <v>71926292</v>
      </c>
      <c r="I14" s="235">
        <f t="shared" si="19"/>
        <v>72369700</v>
      </c>
      <c r="J14" s="235">
        <f t="shared" si="19"/>
        <v>72491008</v>
      </c>
      <c r="K14" s="235">
        <f t="shared" si="19"/>
        <v>73779105</v>
      </c>
      <c r="L14" s="235">
        <f t="shared" si="19"/>
        <v>73745672</v>
      </c>
      <c r="M14" s="235">
        <f t="shared" si="19"/>
        <v>73676590</v>
      </c>
      <c r="N14" s="235">
        <f t="shared" si="19"/>
        <v>75618894</v>
      </c>
      <c r="O14" s="235">
        <f t="shared" si="19"/>
        <v>75338514</v>
      </c>
      <c r="P14" s="235">
        <f t="shared" si="19"/>
        <v>75599696</v>
      </c>
      <c r="Q14" s="235">
        <f t="shared" si="19"/>
        <v>72508356</v>
      </c>
      <c r="R14" s="235">
        <f t="shared" si="19"/>
        <v>72470847</v>
      </c>
      <c r="S14" s="235">
        <f t="shared" si="19"/>
        <v>72500884</v>
      </c>
      <c r="T14" s="235">
        <f t="shared" si="19"/>
        <v>72861464</v>
      </c>
      <c r="U14" s="235">
        <f t="shared" si="19"/>
        <v>70208368</v>
      </c>
      <c r="V14" s="235">
        <f t="shared" ref="V14:Y14" si="20">SUM(V12:V13)</f>
        <v>68651984</v>
      </c>
      <c r="W14" s="235">
        <f t="shared" si="20"/>
        <v>68957398</v>
      </c>
      <c r="X14" s="235">
        <f t="shared" si="20"/>
        <v>67675761</v>
      </c>
      <c r="Y14" s="235">
        <f t="shared" si="20"/>
        <v>68039594</v>
      </c>
      <c r="Z14" s="235">
        <f t="shared" ref="Z14:AC14" si="21">SUM(Z12:Z13)</f>
        <v>68253042</v>
      </c>
      <c r="AA14" s="235">
        <f t="shared" si="21"/>
        <v>69056032</v>
      </c>
      <c r="AB14" s="235">
        <f t="shared" si="21"/>
        <v>67631804</v>
      </c>
      <c r="AC14" s="235">
        <f t="shared" si="21"/>
        <v>66889406</v>
      </c>
      <c r="AD14" s="235">
        <v>66939372</v>
      </c>
      <c r="AE14" s="236">
        <f>SUM(AE12:AE13)</f>
        <v>67403630</v>
      </c>
      <c r="AF14" s="236">
        <f>SUM(AF13,AF12)</f>
        <v>69339190</v>
      </c>
      <c r="AG14" s="236">
        <f t="shared" ref="AG14:AH14" si="22">SUM(AG12:AG13)</f>
        <v>66771394</v>
      </c>
      <c r="AH14" s="236">
        <f t="shared" si="22"/>
        <v>65702562</v>
      </c>
      <c r="AI14" s="236">
        <f>SUM(AI12:AI13)</f>
        <v>65265210</v>
      </c>
      <c r="AJ14" s="236">
        <f>SUM(AJ13,AJ12)</f>
        <v>64597476</v>
      </c>
      <c r="AK14" s="236">
        <f t="shared" ref="AK14:AL14" si="23">SUM(AK12:AK13)</f>
        <v>64236204</v>
      </c>
      <c r="AL14" s="236">
        <f t="shared" si="23"/>
        <v>63415662</v>
      </c>
    </row>
    <row r="15" spans="1:38" ht="15" customHeight="1" x14ac:dyDescent="0.25"/>
    <row r="16" spans="1:38" x14ac:dyDescent="0.25">
      <c r="AC16" s="243"/>
    </row>
    <row r="22" spans="34:38" x14ac:dyDescent="0.25">
      <c r="AH22" s="248"/>
      <c r="AI22" s="248"/>
      <c r="AL22" s="248"/>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Z91"/>
  <sheetViews>
    <sheetView showGridLines="0" zoomScale="90" zoomScaleNormal="90" zoomScaleSheetLayoutView="90" workbookViewId="0">
      <pane xSplit="1" ySplit="3" topLeftCell="AK4" activePane="bottomRight" state="frozen"/>
      <selection pane="topRight" activeCell="B1" sqref="B1"/>
      <selection pane="bottomLeft" activeCell="A4" sqref="A4"/>
      <selection pane="bottomRight" activeCell="AV1" sqref="AV1:AV1048576"/>
    </sheetView>
  </sheetViews>
  <sheetFormatPr defaultColWidth="12.6640625" defaultRowHeight="13.2" outlineLevelCol="1" x14ac:dyDescent="0.25"/>
  <cols>
    <col min="1" max="1" width="49.33203125" style="2" customWidth="1"/>
    <col min="2" max="11" width="12.6640625" style="2" hidden="1" customWidth="1" outlineLevel="1"/>
    <col min="12" max="12" width="12.6640625" style="2" hidden="1" customWidth="1" outlineLevel="1" collapsed="1"/>
    <col min="13" max="15" width="12.6640625" style="2" hidden="1" customWidth="1" outlineLevel="1"/>
    <col min="16" max="16" width="12.6640625" style="2" hidden="1" customWidth="1" outlineLevel="1" collapsed="1"/>
    <col min="17" max="19" width="12.6640625" style="2" hidden="1" customWidth="1" outlineLevel="1"/>
    <col min="20" max="20" width="12.6640625" style="2" hidden="1" customWidth="1" collapsed="1"/>
    <col min="21" max="23" width="12.6640625" style="2" hidden="1" customWidth="1"/>
    <col min="24" max="36" width="14.77734375" style="2" hidden="1" customWidth="1"/>
    <col min="37" max="38" width="13.33203125" style="151" bestFit="1" customWidth="1"/>
    <col min="39" max="40" width="14.33203125" style="151" customWidth="1"/>
    <col min="41" max="41" width="14.77734375" style="2" customWidth="1"/>
    <col min="42" max="43" width="14.109375" style="151" bestFit="1" customWidth="1"/>
    <col min="44" max="45" width="14.33203125" style="151" customWidth="1"/>
    <col min="46" max="46" width="14.77734375" style="2" customWidth="1"/>
    <col min="47" max="47" width="17" style="151" customWidth="1"/>
    <col min="48" max="48" width="4.33203125" style="151" customWidth="1"/>
    <col min="49" max="52" width="12.6640625" style="151"/>
    <col min="53" max="16384" width="12.6640625" style="2"/>
  </cols>
  <sheetData>
    <row r="1" spans="1:47" x14ac:dyDescent="0.25">
      <c r="A1" s="1" t="s">
        <v>58</v>
      </c>
    </row>
    <row r="2" spans="1:47" x14ac:dyDescent="0.25">
      <c r="A2" s="5" t="s">
        <v>59</v>
      </c>
      <c r="F2" s="9"/>
      <c r="K2" s="9"/>
      <c r="P2" s="95"/>
      <c r="U2" s="95"/>
      <c r="Z2" s="95"/>
      <c r="AE2" s="95"/>
      <c r="AJ2" s="95"/>
      <c r="AO2" s="95"/>
      <c r="AT2" s="95"/>
    </row>
    <row r="3" spans="1:47" ht="15" customHeight="1" x14ac:dyDescent="0.25">
      <c r="A3" s="3"/>
      <c r="B3" s="4" t="s">
        <v>60</v>
      </c>
      <c r="C3" s="4" t="s">
        <v>61</v>
      </c>
      <c r="D3" s="4" t="s">
        <v>62</v>
      </c>
      <c r="E3" s="4" t="s">
        <v>63</v>
      </c>
      <c r="F3" s="7" t="s">
        <v>64</v>
      </c>
      <c r="G3" s="4" t="s">
        <v>65</v>
      </c>
      <c r="H3" s="4" t="s">
        <v>66</v>
      </c>
      <c r="I3" s="4" t="s">
        <v>67</v>
      </c>
      <c r="J3" s="4" t="s">
        <v>68</v>
      </c>
      <c r="K3" s="7" t="s">
        <v>69</v>
      </c>
      <c r="L3" s="4" t="s">
        <v>70</v>
      </c>
      <c r="M3" s="4" t="s">
        <v>71</v>
      </c>
      <c r="N3" s="4" t="s">
        <v>72</v>
      </c>
      <c r="O3" s="4" t="s">
        <v>73</v>
      </c>
      <c r="P3" s="96" t="s">
        <v>74</v>
      </c>
      <c r="Q3" s="4" t="s">
        <v>75</v>
      </c>
      <c r="R3" s="4" t="s">
        <v>76</v>
      </c>
      <c r="S3" s="4" t="s">
        <v>77</v>
      </c>
      <c r="T3" s="4" t="s">
        <v>78</v>
      </c>
      <c r="U3" s="96" t="s">
        <v>79</v>
      </c>
      <c r="V3" s="4" t="s">
        <v>80</v>
      </c>
      <c r="W3" s="4" t="s">
        <v>81</v>
      </c>
      <c r="X3" s="4" t="s">
        <v>82</v>
      </c>
      <c r="Y3" s="4" t="s">
        <v>83</v>
      </c>
      <c r="Z3" s="96" t="s">
        <v>84</v>
      </c>
      <c r="AA3" s="4" t="s">
        <v>85</v>
      </c>
      <c r="AB3" s="4" t="s">
        <v>86</v>
      </c>
      <c r="AC3" s="4" t="s">
        <v>87</v>
      </c>
      <c r="AD3" s="4" t="s">
        <v>88</v>
      </c>
      <c r="AE3" s="96" t="s">
        <v>89</v>
      </c>
      <c r="AF3" s="4" t="s">
        <v>90</v>
      </c>
      <c r="AG3" s="4" t="s">
        <v>91</v>
      </c>
      <c r="AH3" s="4" t="s">
        <v>92</v>
      </c>
      <c r="AI3" s="4" t="s">
        <v>93</v>
      </c>
      <c r="AJ3" s="96" t="s">
        <v>94</v>
      </c>
      <c r="AK3" s="255" t="s">
        <v>95</v>
      </c>
      <c r="AL3" s="255" t="s">
        <v>96</v>
      </c>
      <c r="AM3" s="255" t="s">
        <v>97</v>
      </c>
      <c r="AN3" s="255" t="s">
        <v>98</v>
      </c>
      <c r="AO3" s="96" t="s">
        <v>99</v>
      </c>
      <c r="AP3" s="255" t="s">
        <v>100</v>
      </c>
      <c r="AQ3" s="255" t="s">
        <v>101</v>
      </c>
      <c r="AR3" s="255" t="s">
        <v>102</v>
      </c>
      <c r="AS3" s="255" t="s">
        <v>103</v>
      </c>
      <c r="AT3" s="96" t="s">
        <v>104</v>
      </c>
      <c r="AU3" s="255" t="s">
        <v>105</v>
      </c>
    </row>
    <row r="4" spans="1:47" ht="15" customHeight="1" x14ac:dyDescent="0.25">
      <c r="A4" s="3"/>
      <c r="B4" s="3"/>
      <c r="C4" s="3"/>
      <c r="D4" s="3"/>
      <c r="E4" s="3"/>
      <c r="F4" s="6"/>
      <c r="G4" s="3"/>
      <c r="H4" s="3"/>
      <c r="I4" s="3"/>
      <c r="J4" s="3"/>
      <c r="K4" s="6"/>
      <c r="L4" s="3"/>
      <c r="M4" s="3"/>
      <c r="N4" s="3"/>
      <c r="O4" s="3"/>
      <c r="P4" s="97"/>
      <c r="Q4" s="3"/>
      <c r="R4" s="3"/>
      <c r="S4" s="3"/>
      <c r="T4" s="3"/>
      <c r="U4" s="97"/>
      <c r="V4" s="3"/>
      <c r="W4" s="3"/>
      <c r="X4" s="3"/>
      <c r="Y4" s="3"/>
      <c r="Z4" s="97"/>
      <c r="AA4" s="3"/>
      <c r="AB4" s="3"/>
      <c r="AC4" s="3"/>
      <c r="AD4" s="3"/>
      <c r="AE4" s="97"/>
      <c r="AF4" s="3"/>
      <c r="AG4" s="3"/>
      <c r="AH4" s="3"/>
      <c r="AI4" s="3"/>
      <c r="AJ4" s="97"/>
      <c r="AK4" s="256"/>
      <c r="AL4" s="256"/>
      <c r="AM4" s="256"/>
      <c r="AN4" s="256"/>
      <c r="AO4" s="97"/>
      <c r="AP4" s="256"/>
      <c r="AQ4" s="256"/>
      <c r="AR4" s="256"/>
      <c r="AS4" s="256"/>
      <c r="AT4" s="97"/>
      <c r="AU4" s="256"/>
    </row>
    <row r="5" spans="1:47" ht="15" customHeight="1" x14ac:dyDescent="0.25">
      <c r="A5" s="2" t="s">
        <v>106</v>
      </c>
      <c r="B5" s="35">
        <v>294172</v>
      </c>
      <c r="C5" s="35">
        <v>299306</v>
      </c>
      <c r="D5" s="35">
        <v>332674</v>
      </c>
      <c r="E5" s="35">
        <v>397018</v>
      </c>
      <c r="F5" s="46">
        <v>1323169</v>
      </c>
      <c r="G5" s="35">
        <v>401253</v>
      </c>
      <c r="H5" s="35">
        <v>407201</v>
      </c>
      <c r="I5" s="35">
        <v>423867</v>
      </c>
      <c r="J5" s="35">
        <v>566825</v>
      </c>
      <c r="K5" s="46">
        <v>1799146</v>
      </c>
      <c r="L5" s="35">
        <v>516667</v>
      </c>
      <c r="M5" s="35">
        <v>542022</v>
      </c>
      <c r="N5" s="35">
        <v>563973</v>
      </c>
      <c r="O5" s="35">
        <v>674031</v>
      </c>
      <c r="P5" s="98">
        <v>2296692</v>
      </c>
      <c r="Q5" s="35">
        <v>564164</v>
      </c>
      <c r="R5" s="35">
        <v>537185</v>
      </c>
      <c r="S5" s="35">
        <v>528869</v>
      </c>
      <c r="T5" s="35">
        <v>670096</v>
      </c>
      <c r="U5" s="98">
        <v>2300314</v>
      </c>
      <c r="V5" s="35">
        <v>558123</v>
      </c>
      <c r="W5" s="35">
        <v>528147</v>
      </c>
      <c r="X5" s="35">
        <v>522606</v>
      </c>
      <c r="Y5" s="35">
        <v>652640</v>
      </c>
      <c r="Z5" s="98">
        <v>2261516</v>
      </c>
      <c r="AA5" s="35">
        <v>503376</v>
      </c>
      <c r="AB5" s="35">
        <v>437614</v>
      </c>
      <c r="AC5" s="35">
        <v>470345</v>
      </c>
      <c r="AD5" s="35">
        <v>661282</v>
      </c>
      <c r="AE5" s="98">
        <v>2072617</v>
      </c>
      <c r="AF5" s="35">
        <v>541077</v>
      </c>
      <c r="AG5" s="35">
        <v>551311</v>
      </c>
      <c r="AH5" s="35">
        <v>508580</v>
      </c>
      <c r="AI5" s="35">
        <v>653267</v>
      </c>
      <c r="AJ5" s="98">
        <v>2254235</v>
      </c>
      <c r="AK5" s="257">
        <v>510567</v>
      </c>
      <c r="AL5" s="257">
        <v>495090</v>
      </c>
      <c r="AM5" s="257">
        <v>446921</v>
      </c>
      <c r="AN5" s="257">
        <v>564425</v>
      </c>
      <c r="AO5" s="98">
        <v>2017003</v>
      </c>
      <c r="AP5" s="257">
        <v>445016</v>
      </c>
      <c r="AQ5" s="257">
        <v>468934</v>
      </c>
      <c r="AR5" s="257">
        <v>469193</v>
      </c>
      <c r="AS5" s="257">
        <v>566302</v>
      </c>
      <c r="AT5" s="98">
        <v>1949445</v>
      </c>
      <c r="AU5" s="257">
        <v>450055</v>
      </c>
    </row>
    <row r="6" spans="1:47" ht="15" customHeight="1" x14ac:dyDescent="0.25">
      <c r="A6" s="3"/>
      <c r="B6" s="36"/>
      <c r="C6" s="36"/>
      <c r="D6" s="36"/>
      <c r="E6" s="36"/>
      <c r="F6" s="47"/>
      <c r="G6" s="36"/>
      <c r="H6" s="36"/>
      <c r="I6" s="36"/>
      <c r="J6" s="36"/>
      <c r="K6" s="47"/>
      <c r="L6" s="36"/>
      <c r="M6" s="36"/>
      <c r="N6" s="36"/>
      <c r="O6" s="36"/>
      <c r="P6" s="99"/>
      <c r="Q6" s="36"/>
      <c r="R6" s="36"/>
      <c r="S6" s="36"/>
      <c r="T6" s="36"/>
      <c r="U6" s="99"/>
      <c r="V6" s="36"/>
      <c r="W6" s="36"/>
      <c r="X6" s="36"/>
      <c r="Y6" s="36"/>
      <c r="Z6" s="99"/>
      <c r="AA6" s="36"/>
      <c r="AB6" s="36"/>
      <c r="AC6" s="36"/>
      <c r="AD6" s="36"/>
      <c r="AE6" s="99"/>
      <c r="AF6" s="36"/>
      <c r="AG6" s="36"/>
      <c r="AH6" s="36"/>
      <c r="AI6" s="36"/>
      <c r="AJ6" s="99"/>
      <c r="AK6" s="258"/>
      <c r="AL6" s="258"/>
      <c r="AM6" s="258"/>
      <c r="AN6" s="258"/>
      <c r="AO6" s="99"/>
      <c r="AP6" s="258"/>
      <c r="AQ6" s="258"/>
      <c r="AR6" s="258"/>
      <c r="AS6" s="258"/>
      <c r="AT6" s="99"/>
      <c r="AU6" s="258"/>
    </row>
    <row r="7" spans="1:47" ht="15" customHeight="1" x14ac:dyDescent="0.25">
      <c r="A7" s="2" t="s">
        <v>107</v>
      </c>
      <c r="B7" s="36"/>
      <c r="C7" s="36"/>
      <c r="D7" s="36"/>
      <c r="E7" s="36"/>
      <c r="F7" s="47"/>
      <c r="G7" s="36"/>
      <c r="H7" s="36"/>
      <c r="I7" s="36"/>
      <c r="J7" s="36"/>
      <c r="K7" s="47"/>
      <c r="L7" s="36"/>
      <c r="M7" s="36"/>
      <c r="N7" s="36"/>
      <c r="O7" s="36"/>
      <c r="P7" s="99"/>
      <c r="Q7" s="36"/>
      <c r="R7" s="36"/>
      <c r="S7" s="36"/>
      <c r="T7" s="36"/>
      <c r="U7" s="99"/>
      <c r="V7" s="36"/>
      <c r="W7" s="36"/>
      <c r="X7" s="36"/>
      <c r="Y7" s="36"/>
      <c r="Z7" s="99"/>
      <c r="AA7" s="36"/>
      <c r="AB7" s="36"/>
      <c r="AC7" s="36"/>
      <c r="AD7" s="36"/>
      <c r="AE7" s="99"/>
      <c r="AF7" s="36"/>
      <c r="AG7" s="36"/>
      <c r="AH7" s="36"/>
      <c r="AI7" s="36"/>
      <c r="AJ7" s="99"/>
      <c r="AK7" s="258"/>
      <c r="AL7" s="258"/>
      <c r="AM7" s="258"/>
      <c r="AN7" s="258"/>
      <c r="AO7" s="99"/>
      <c r="AP7" s="258"/>
      <c r="AQ7" s="258"/>
      <c r="AR7" s="258"/>
      <c r="AS7" s="258"/>
      <c r="AT7" s="99"/>
      <c r="AU7" s="258"/>
    </row>
    <row r="8" spans="1:47" ht="15" customHeight="1" x14ac:dyDescent="0.25">
      <c r="A8" s="127" t="s">
        <v>108</v>
      </c>
      <c r="B8" s="37">
        <v>-175888</v>
      </c>
      <c r="C8" s="37">
        <v>-177239</v>
      </c>
      <c r="D8" s="37">
        <v>-198970</v>
      </c>
      <c r="E8" s="37">
        <v>-237056</v>
      </c>
      <c r="F8" s="48">
        <v>-789152</v>
      </c>
      <c r="G8" s="37">
        <v>-238755</v>
      </c>
      <c r="H8" s="37">
        <v>-240969</v>
      </c>
      <c r="I8" s="37">
        <v>-247310</v>
      </c>
      <c r="J8" s="37">
        <v>-341877</v>
      </c>
      <c r="K8" s="48">
        <v>-1068911</v>
      </c>
      <c r="L8" s="37">
        <v>-306693</v>
      </c>
      <c r="M8" s="37">
        <v>-322200</v>
      </c>
      <c r="N8" s="37">
        <v>-329576</v>
      </c>
      <c r="O8" s="37">
        <v>-397087</v>
      </c>
      <c r="P8" s="100">
        <v>-1355556</v>
      </c>
      <c r="Q8" s="37">
        <v>-323746</v>
      </c>
      <c r="R8" s="37">
        <v>-306963</v>
      </c>
      <c r="S8" s="37">
        <v>-305387</v>
      </c>
      <c r="T8" s="37">
        <v>-398238</v>
      </c>
      <c r="U8" s="100">
        <v>-1334334</v>
      </c>
      <c r="V8" s="37">
        <v>-322429</v>
      </c>
      <c r="W8" s="37">
        <v>-304229</v>
      </c>
      <c r="X8" s="37">
        <v>-301901</v>
      </c>
      <c r="Y8" s="37">
        <v>-386388</v>
      </c>
      <c r="Z8" s="100">
        <v>-1314947</v>
      </c>
      <c r="AA8" s="37">
        <v>-297364</v>
      </c>
      <c r="AB8" s="37">
        <v>-257698</v>
      </c>
      <c r="AC8" s="37">
        <v>-284401</v>
      </c>
      <c r="AD8" s="37">
        <v>-408108</v>
      </c>
      <c r="AE8" s="100">
        <v>-1247571</v>
      </c>
      <c r="AF8" s="37">
        <v>-327667</v>
      </c>
      <c r="AG8" s="37">
        <v>-331078</v>
      </c>
      <c r="AH8" s="37">
        <v>-297619</v>
      </c>
      <c r="AI8" s="37">
        <v>-377076</v>
      </c>
      <c r="AJ8" s="100">
        <v>-1333440</v>
      </c>
      <c r="AK8" s="259">
        <v>-293650</v>
      </c>
      <c r="AL8" s="259">
        <v>-280565</v>
      </c>
      <c r="AM8" s="259">
        <v>-233543</v>
      </c>
      <c r="AN8" s="259">
        <v>-281021</v>
      </c>
      <c r="AO8" s="100">
        <v>-1088779</v>
      </c>
      <c r="AP8" s="259">
        <v>-224398</v>
      </c>
      <c r="AQ8" s="259">
        <v>-228717</v>
      </c>
      <c r="AR8" s="259">
        <v>-223798</v>
      </c>
      <c r="AS8" s="259">
        <v>-249926</v>
      </c>
      <c r="AT8" s="100">
        <v>-926839</v>
      </c>
      <c r="AU8" s="259">
        <v>-196167</v>
      </c>
    </row>
    <row r="9" spans="1:47" ht="15" customHeight="1" x14ac:dyDescent="0.25">
      <c r="A9" s="127" t="s">
        <v>109</v>
      </c>
      <c r="B9" s="38">
        <v>-12969</v>
      </c>
      <c r="C9" s="38">
        <v>-14243</v>
      </c>
      <c r="D9" s="38">
        <v>-17206</v>
      </c>
      <c r="E9" s="38">
        <v>-17782</v>
      </c>
      <c r="F9" s="49">
        <v>-62201</v>
      </c>
      <c r="G9" s="38">
        <v>-18338</v>
      </c>
      <c r="H9" s="38">
        <v>-20279</v>
      </c>
      <c r="I9" s="38">
        <v>-22332</v>
      </c>
      <c r="J9" s="38">
        <v>-24309</v>
      </c>
      <c r="K9" s="49">
        <v>-85260</v>
      </c>
      <c r="L9" s="38">
        <v>-27155</v>
      </c>
      <c r="M9" s="38">
        <v>-32808</v>
      </c>
      <c r="N9" s="38">
        <v>-29951</v>
      </c>
      <c r="O9" s="38">
        <v>-31727</v>
      </c>
      <c r="P9" s="101">
        <v>-121641</v>
      </c>
      <c r="Q9" s="38">
        <v>-30059</v>
      </c>
      <c r="R9" s="38">
        <v>-29957</v>
      </c>
      <c r="S9" s="38">
        <v>-32921</v>
      </c>
      <c r="T9" s="38">
        <v>-38807</v>
      </c>
      <c r="U9" s="101">
        <v>-131744</v>
      </c>
      <c r="V9" s="38">
        <v>-26045</v>
      </c>
      <c r="W9" s="38">
        <v>-29059</v>
      </c>
      <c r="X9" s="38">
        <v>-31101</v>
      </c>
      <c r="Y9" s="38">
        <v>-31328</v>
      </c>
      <c r="Z9" s="101">
        <v>-117533</v>
      </c>
      <c r="AA9" s="38">
        <v>-33806</v>
      </c>
      <c r="AB9" s="38">
        <v>-33914</v>
      </c>
      <c r="AC9" s="38">
        <v>-34608</v>
      </c>
      <c r="AD9" s="38">
        <v>-34700</v>
      </c>
      <c r="AE9" s="101">
        <v>-137028</v>
      </c>
      <c r="AF9" s="38">
        <v>-34712</v>
      </c>
      <c r="AG9" s="38">
        <v>-37364</v>
      </c>
      <c r="AH9" s="38">
        <v>-34935</v>
      </c>
      <c r="AI9" s="38">
        <v>-31840</v>
      </c>
      <c r="AJ9" s="101">
        <v>-138851</v>
      </c>
      <c r="AK9" s="148">
        <v>-32893</v>
      </c>
      <c r="AL9" s="148">
        <v>-29550</v>
      </c>
      <c r="AM9" s="148">
        <v>-33771</v>
      </c>
      <c r="AN9" s="148">
        <v>-36810</v>
      </c>
      <c r="AO9" s="101">
        <v>-133024</v>
      </c>
      <c r="AP9" s="148">
        <v>-39109</v>
      </c>
      <c r="AQ9" s="148">
        <v>-40435</v>
      </c>
      <c r="AR9" s="148">
        <v>-40268</v>
      </c>
      <c r="AS9" s="148">
        <v>-39750</v>
      </c>
      <c r="AT9" s="101">
        <v>-159562</v>
      </c>
      <c r="AU9" s="148">
        <v>-36665</v>
      </c>
    </row>
    <row r="10" spans="1:47" ht="15" customHeight="1" x14ac:dyDescent="0.25">
      <c r="A10" s="3"/>
      <c r="B10" s="34"/>
      <c r="C10" s="34"/>
      <c r="D10" s="34"/>
      <c r="E10" s="34"/>
      <c r="F10" s="50"/>
      <c r="G10" s="34"/>
      <c r="H10" s="34"/>
      <c r="I10" s="34"/>
      <c r="J10" s="34"/>
      <c r="K10" s="50"/>
      <c r="L10" s="34"/>
      <c r="M10" s="34"/>
      <c r="N10" s="34"/>
      <c r="O10" s="34"/>
      <c r="P10" s="102"/>
      <c r="Q10" s="34"/>
      <c r="R10" s="34"/>
      <c r="S10" s="34"/>
      <c r="T10" s="34"/>
      <c r="U10" s="102"/>
      <c r="V10" s="34"/>
      <c r="W10" s="34"/>
      <c r="X10" s="34"/>
      <c r="Y10" s="34"/>
      <c r="Z10" s="102"/>
      <c r="AA10" s="34"/>
      <c r="AB10" s="34"/>
      <c r="AC10" s="34"/>
      <c r="AD10" s="34"/>
      <c r="AE10" s="102"/>
      <c r="AF10" s="34"/>
      <c r="AG10" s="34"/>
      <c r="AH10" s="34"/>
      <c r="AI10" s="34"/>
      <c r="AJ10" s="102"/>
      <c r="AK10" s="260"/>
      <c r="AL10" s="260"/>
      <c r="AM10" s="260"/>
      <c r="AN10" s="260"/>
      <c r="AO10" s="102"/>
      <c r="AP10" s="260"/>
      <c r="AQ10" s="260"/>
      <c r="AR10" s="260"/>
      <c r="AS10" s="260"/>
      <c r="AT10" s="102"/>
      <c r="AU10" s="260"/>
    </row>
    <row r="11" spans="1:47" ht="15" customHeight="1" thickBot="1" x14ac:dyDescent="0.3">
      <c r="A11" s="2" t="s">
        <v>110</v>
      </c>
      <c r="B11" s="39">
        <f t="shared" ref="B11:G11" si="0">SUM(B5, B8:B9)</f>
        <v>105315</v>
      </c>
      <c r="C11" s="39">
        <f t="shared" si="0"/>
        <v>107824</v>
      </c>
      <c r="D11" s="39">
        <f t="shared" si="0"/>
        <v>116498</v>
      </c>
      <c r="E11" s="39">
        <f t="shared" si="0"/>
        <v>142180</v>
      </c>
      <c r="F11" s="51">
        <f t="shared" si="0"/>
        <v>471816</v>
      </c>
      <c r="G11" s="39">
        <f t="shared" si="0"/>
        <v>144160</v>
      </c>
      <c r="H11" s="39">
        <f>SUM(H5,H8:H9)</f>
        <v>145953</v>
      </c>
      <c r="I11" s="39">
        <v>154225</v>
      </c>
      <c r="J11" s="39">
        <f t="shared" ref="J11:K11" si="1">SUM(J5,J8:J9)</f>
        <v>200639</v>
      </c>
      <c r="K11" s="51">
        <f t="shared" si="1"/>
        <v>644975</v>
      </c>
      <c r="L11" s="39">
        <f>SUM(L5,L8:L9)</f>
        <v>182819</v>
      </c>
      <c r="M11" s="39">
        <f>SUM(M5,M8:M9)</f>
        <v>187014</v>
      </c>
      <c r="N11" s="39">
        <v>204446</v>
      </c>
      <c r="O11" s="39">
        <f t="shared" ref="O11:P11" si="2">SUM(O5,O8:O9)</f>
        <v>245217</v>
      </c>
      <c r="P11" s="103">
        <f t="shared" si="2"/>
        <v>819495</v>
      </c>
      <c r="Q11" s="39">
        <f>SUM(Q5,Q8:Q9)</f>
        <v>210359</v>
      </c>
      <c r="R11" s="39">
        <f>SUM(R5,R8:R9)</f>
        <v>200265</v>
      </c>
      <c r="S11" s="39">
        <f>SUM(S5,S8:S9)</f>
        <v>190561</v>
      </c>
      <c r="T11" s="39">
        <f t="shared" ref="T11:U11" si="3">SUM(T5,T8:T9)</f>
        <v>233051</v>
      </c>
      <c r="U11" s="103">
        <f t="shared" si="3"/>
        <v>834236</v>
      </c>
      <c r="V11" s="39">
        <f>SUM(V5,V8:V9)</f>
        <v>209649</v>
      </c>
      <c r="W11" s="39">
        <f>SUM(W5,W8:W9)</f>
        <v>194859</v>
      </c>
      <c r="X11" s="39">
        <f>SUM(X5,X8:X9)</f>
        <v>189604</v>
      </c>
      <c r="Y11" s="39">
        <f t="shared" ref="Y11:Z11" si="4">SUM(Y5,Y8:Y9)</f>
        <v>234924</v>
      </c>
      <c r="Z11" s="103">
        <f t="shared" si="4"/>
        <v>829036</v>
      </c>
      <c r="AA11" s="39">
        <f>SUM(AA5,AA8:AA9)</f>
        <v>172206</v>
      </c>
      <c r="AB11" s="39">
        <f>SUM(AB5,AB8:AB9)</f>
        <v>146002</v>
      </c>
      <c r="AC11" s="39">
        <f>SUM(AC5,AC8:AC9)</f>
        <v>151336</v>
      </c>
      <c r="AD11" s="39">
        <f t="shared" ref="AD11:AE11" si="5">SUM(AD5,AD8:AD9)</f>
        <v>218474</v>
      </c>
      <c r="AE11" s="103">
        <f t="shared" si="5"/>
        <v>688018</v>
      </c>
      <c r="AF11" s="39">
        <f>SUM(AF5,AF8:AF9)</f>
        <v>178698</v>
      </c>
      <c r="AG11" s="39">
        <f>SUM(AG5,AG8:AG9)</f>
        <v>182869</v>
      </c>
      <c r="AH11" s="39">
        <f>SUM(AH5,AH8:AH9)</f>
        <v>176026</v>
      </c>
      <c r="AI11" s="39">
        <f>SUM(AI5,AI8:AI9)</f>
        <v>244351</v>
      </c>
      <c r="AJ11" s="103">
        <f t="shared" ref="AJ11" si="6">SUM(AJ5,AJ8:AJ9)</f>
        <v>781944</v>
      </c>
      <c r="AK11" s="261">
        <f t="shared" ref="AK11:AO11" si="7">SUM(AK5,AK8:AK9)</f>
        <v>184024</v>
      </c>
      <c r="AL11" s="261">
        <f t="shared" si="7"/>
        <v>184975</v>
      </c>
      <c r="AM11" s="261">
        <f t="shared" si="7"/>
        <v>179607</v>
      </c>
      <c r="AN11" s="261">
        <f t="shared" si="7"/>
        <v>246594</v>
      </c>
      <c r="AO11" s="103">
        <f t="shared" si="7"/>
        <v>795200</v>
      </c>
      <c r="AP11" s="261">
        <f>SUM(AP5,AP8:AP9)</f>
        <v>181509</v>
      </c>
      <c r="AQ11" s="261">
        <f t="shared" ref="AQ11:AS11" si="8">SUM(AQ5,AQ8:AQ9)</f>
        <v>199782</v>
      </c>
      <c r="AR11" s="261">
        <f t="shared" si="8"/>
        <v>205127</v>
      </c>
      <c r="AS11" s="261">
        <f t="shared" si="8"/>
        <v>276626</v>
      </c>
      <c r="AT11" s="103">
        <f>SUM(AT5,AT8:AT9)</f>
        <v>863044</v>
      </c>
      <c r="AU11" s="261">
        <f>SUM(AU5,AU8:AU9)</f>
        <v>217223</v>
      </c>
    </row>
    <row r="12" spans="1:47" ht="15" customHeight="1" thickTop="1" x14ac:dyDescent="0.25">
      <c r="A12" s="3"/>
      <c r="B12" s="34"/>
      <c r="C12" s="34"/>
      <c r="D12" s="34"/>
      <c r="E12" s="34"/>
      <c r="F12" s="50"/>
      <c r="G12" s="34"/>
      <c r="H12" s="34"/>
      <c r="I12" s="34"/>
      <c r="J12" s="34"/>
      <c r="K12" s="50"/>
      <c r="L12" s="34"/>
      <c r="M12" s="34"/>
      <c r="N12" s="34"/>
      <c r="O12" s="34"/>
      <c r="P12" s="102"/>
      <c r="Q12" s="34"/>
      <c r="R12" s="34"/>
      <c r="S12" s="34"/>
      <c r="T12" s="34"/>
      <c r="U12" s="102"/>
      <c r="V12" s="34"/>
      <c r="W12" s="34"/>
      <c r="X12" s="34"/>
      <c r="Y12" s="34"/>
      <c r="Z12" s="102"/>
      <c r="AA12" s="34"/>
      <c r="AB12" s="34"/>
      <c r="AC12" s="34"/>
      <c r="AD12" s="77"/>
      <c r="AE12" s="149"/>
      <c r="AF12" s="34"/>
      <c r="AG12" s="34"/>
      <c r="AH12" s="34"/>
      <c r="AI12" s="77"/>
      <c r="AJ12" s="102"/>
      <c r="AK12" s="260"/>
      <c r="AL12" s="260"/>
      <c r="AM12" s="260"/>
      <c r="AN12" s="260"/>
      <c r="AO12" s="102"/>
      <c r="AP12" s="260"/>
      <c r="AQ12" s="260"/>
      <c r="AR12" s="260"/>
      <c r="AS12" s="260"/>
      <c r="AT12" s="102"/>
      <c r="AU12" s="260"/>
    </row>
    <row r="13" spans="1:47" ht="15" customHeight="1" x14ac:dyDescent="0.25">
      <c r="A13" s="2" t="s">
        <v>111</v>
      </c>
      <c r="B13" s="34"/>
      <c r="C13" s="34"/>
      <c r="D13" s="34"/>
      <c r="E13" s="34"/>
      <c r="F13" s="50"/>
      <c r="G13" s="34"/>
      <c r="H13" s="34"/>
      <c r="I13" s="34"/>
      <c r="J13" s="34"/>
      <c r="K13" s="50"/>
      <c r="L13" s="34"/>
      <c r="M13" s="34"/>
      <c r="N13" s="34"/>
      <c r="O13" s="34"/>
      <c r="P13" s="102"/>
      <c r="Q13" s="34"/>
      <c r="R13" s="34"/>
      <c r="S13" s="34"/>
      <c r="T13" s="34"/>
      <c r="U13" s="102"/>
      <c r="V13" s="34"/>
      <c r="W13" s="34"/>
      <c r="X13" s="34"/>
      <c r="Y13" s="34"/>
      <c r="Z13" s="102"/>
      <c r="AA13" s="34"/>
      <c r="AB13" s="34"/>
      <c r="AC13" s="34"/>
      <c r="AD13" s="34"/>
      <c r="AE13" s="102"/>
      <c r="AF13" s="34"/>
      <c r="AG13" s="34"/>
      <c r="AH13" s="34"/>
      <c r="AI13" s="34"/>
      <c r="AJ13" s="102"/>
      <c r="AK13" s="260"/>
      <c r="AL13" s="260"/>
      <c r="AM13" s="260"/>
      <c r="AN13" s="260"/>
      <c r="AO13" s="102"/>
      <c r="AP13" s="260"/>
      <c r="AQ13" s="260"/>
      <c r="AR13" s="260"/>
      <c r="AS13" s="260"/>
      <c r="AT13" s="102"/>
      <c r="AU13" s="260"/>
    </row>
    <row r="14" spans="1:47" ht="15" customHeight="1" x14ac:dyDescent="0.25">
      <c r="A14" s="127" t="s">
        <v>112</v>
      </c>
      <c r="B14" s="38">
        <v>-17846</v>
      </c>
      <c r="C14" s="38">
        <v>-19853</v>
      </c>
      <c r="D14" s="38">
        <v>-22442</v>
      </c>
      <c r="E14" s="38">
        <v>-26665</v>
      </c>
      <c r="F14" s="49">
        <v>-86807</v>
      </c>
      <c r="G14" s="38">
        <v>-27162</v>
      </c>
      <c r="H14" s="38">
        <v>-30235</v>
      </c>
      <c r="I14" s="38">
        <v>-30701</v>
      </c>
      <c r="J14" s="38">
        <v>-35552</v>
      </c>
      <c r="K14" s="49">
        <v>-123649</v>
      </c>
      <c r="L14" s="38">
        <v>-39521</v>
      </c>
      <c r="M14" s="38">
        <v>-43611</v>
      </c>
      <c r="N14" s="38">
        <v>-43860</v>
      </c>
      <c r="O14" s="38">
        <v>-46933</v>
      </c>
      <c r="P14" s="101">
        <v>-173925</v>
      </c>
      <c r="Q14" s="38">
        <v>-45318</v>
      </c>
      <c r="R14" s="38">
        <v>-47544</v>
      </c>
      <c r="S14" s="38">
        <v>-41796</v>
      </c>
      <c r="T14" s="38">
        <v>-44605</v>
      </c>
      <c r="U14" s="101">
        <v>-179263</v>
      </c>
      <c r="V14" s="38">
        <v>-46577</v>
      </c>
      <c r="W14" s="38">
        <v>-44015</v>
      </c>
      <c r="X14" s="38">
        <v>-41414</v>
      </c>
      <c r="Y14" s="38">
        <v>-40585</v>
      </c>
      <c r="Z14" s="101">
        <v>-172591</v>
      </c>
      <c r="AA14" s="38">
        <v>-37515</v>
      </c>
      <c r="AB14" s="38">
        <v>-31247</v>
      </c>
      <c r="AC14" s="38">
        <v>-30954</v>
      </c>
      <c r="AD14" s="38">
        <v>-32797</v>
      </c>
      <c r="AE14" s="101">
        <v>-132513</v>
      </c>
      <c r="AF14" s="38">
        <v>-31697</v>
      </c>
      <c r="AG14" s="38">
        <v>-41915</v>
      </c>
      <c r="AH14" s="38">
        <v>-33345</v>
      </c>
      <c r="AI14" s="38">
        <v>-44860</v>
      </c>
      <c r="AJ14" s="101">
        <v>-151817</v>
      </c>
      <c r="AK14" s="148">
        <v>-34027</v>
      </c>
      <c r="AL14" s="148">
        <v>-41496</v>
      </c>
      <c r="AM14" s="148">
        <v>-42725</v>
      </c>
      <c r="AN14" s="148">
        <v>-69348</v>
      </c>
      <c r="AO14" s="101">
        <v>-187596</v>
      </c>
      <c r="AP14" s="148">
        <v>-63590</v>
      </c>
      <c r="AQ14" s="148">
        <v>-67775</v>
      </c>
      <c r="AR14" s="148">
        <v>-62522</v>
      </c>
      <c r="AS14" s="148">
        <v>-48402</v>
      </c>
      <c r="AT14" s="101">
        <v>-242289</v>
      </c>
      <c r="AU14" s="148">
        <v>-66858</v>
      </c>
    </row>
    <row r="15" spans="1:47" ht="15" customHeight="1" x14ac:dyDescent="0.25">
      <c r="A15" s="127" t="s">
        <v>113</v>
      </c>
      <c r="B15" s="38">
        <v>-53083</v>
      </c>
      <c r="C15" s="38">
        <v>-59727</v>
      </c>
      <c r="D15" s="38">
        <v>-56310</v>
      </c>
      <c r="E15" s="38">
        <v>-60410</v>
      </c>
      <c r="F15" s="49">
        <v>-229530</v>
      </c>
      <c r="G15" s="38">
        <v>-64473</v>
      </c>
      <c r="H15" s="38">
        <v>-69225</v>
      </c>
      <c r="I15" s="38">
        <v>-68164</v>
      </c>
      <c r="J15" s="38">
        <v>-80991</v>
      </c>
      <c r="K15" s="49">
        <v>-282853</v>
      </c>
      <c r="L15" s="38">
        <v>-90730</v>
      </c>
      <c r="M15" s="38">
        <v>-97900</v>
      </c>
      <c r="N15" s="38">
        <v>-95184</v>
      </c>
      <c r="O15" s="38">
        <v>-96834</v>
      </c>
      <c r="P15" s="101">
        <v>-380649</v>
      </c>
      <c r="Q15" s="38">
        <v>-95649</v>
      </c>
      <c r="R15" s="38">
        <v>-92726</v>
      </c>
      <c r="S15" s="38">
        <v>-90526</v>
      </c>
      <c r="T15" s="38">
        <v>-93806</v>
      </c>
      <c r="U15" s="101">
        <v>-372707</v>
      </c>
      <c r="V15" s="38">
        <v>-95909</v>
      </c>
      <c r="W15" s="38">
        <v>-95503</v>
      </c>
      <c r="X15" s="38">
        <v>-85985</v>
      </c>
      <c r="Y15" s="38">
        <v>-98080</v>
      </c>
      <c r="Z15" s="101">
        <v>-375477</v>
      </c>
      <c r="AA15" s="38">
        <v>-84974</v>
      </c>
      <c r="AB15" s="38">
        <v>-75781</v>
      </c>
      <c r="AC15" s="38">
        <v>-83659</v>
      </c>
      <c r="AD15" s="38">
        <v>-85871</v>
      </c>
      <c r="AE15" s="101">
        <v>-330285</v>
      </c>
      <c r="AF15" s="38">
        <v>-79354</v>
      </c>
      <c r="AG15" s="38">
        <v>-80751</v>
      </c>
      <c r="AH15" s="38">
        <v>-75619</v>
      </c>
      <c r="AI15" s="38">
        <v>-89892</v>
      </c>
      <c r="AJ15" s="101">
        <v>-325616</v>
      </c>
      <c r="AK15" s="148">
        <v>-88999</v>
      </c>
      <c r="AL15" s="148">
        <v>-99313</v>
      </c>
      <c r="AM15" s="148">
        <v>-90051</v>
      </c>
      <c r="AN15" s="148">
        <v>-99633</v>
      </c>
      <c r="AO15" s="101">
        <v>-377996</v>
      </c>
      <c r="AP15" s="148">
        <v>-101242</v>
      </c>
      <c r="AQ15" s="148">
        <v>-112511</v>
      </c>
      <c r="AR15" s="148">
        <v>-94572</v>
      </c>
      <c r="AS15" s="148">
        <v>-97687</v>
      </c>
      <c r="AT15" s="101">
        <v>-406012</v>
      </c>
      <c r="AU15" s="148">
        <v>-92842</v>
      </c>
    </row>
    <row r="16" spans="1:47" ht="15" customHeight="1" x14ac:dyDescent="0.25">
      <c r="A16" s="127" t="s">
        <v>114</v>
      </c>
      <c r="B16" s="40">
        <v>-17546</v>
      </c>
      <c r="C16" s="40">
        <v>-20404</v>
      </c>
      <c r="D16" s="40">
        <v>-19915</v>
      </c>
      <c r="E16" s="40">
        <v>-21280</v>
      </c>
      <c r="F16" s="52">
        <v>-79145</v>
      </c>
      <c r="G16" s="40">
        <v>-24737</v>
      </c>
      <c r="H16" s="40">
        <v>-28610</v>
      </c>
      <c r="I16" s="40">
        <v>-32492</v>
      </c>
      <c r="J16" s="40">
        <v>-31630</v>
      </c>
      <c r="K16" s="52">
        <v>-117469</v>
      </c>
      <c r="L16" s="40">
        <v>-31516</v>
      </c>
      <c r="M16" s="40">
        <v>-32239</v>
      </c>
      <c r="N16" s="40">
        <v>-32389</v>
      </c>
      <c r="O16" s="40">
        <v>-30934</v>
      </c>
      <c r="P16" s="104">
        <v>-127077</v>
      </c>
      <c r="Q16" s="40">
        <f>-34585-6</f>
        <v>-34591</v>
      </c>
      <c r="R16" s="40">
        <v>-35644</v>
      </c>
      <c r="S16" s="40">
        <v>-32463</v>
      </c>
      <c r="T16" s="40">
        <v>-32461</v>
      </c>
      <c r="U16" s="104">
        <v>-135159</v>
      </c>
      <c r="V16" s="40">
        <v>-33770</v>
      </c>
      <c r="W16" s="40">
        <v>-35767</v>
      </c>
      <c r="X16" s="40">
        <v>-32835</v>
      </c>
      <c r="Y16" s="40">
        <v>-37382</v>
      </c>
      <c r="Z16" s="104">
        <v>-139754</v>
      </c>
      <c r="AA16" s="40">
        <v>-25915</v>
      </c>
      <c r="AB16" s="40">
        <v>-29185</v>
      </c>
      <c r="AC16" s="40">
        <v>-28672</v>
      </c>
      <c r="AD16" s="40">
        <v>-32623</v>
      </c>
      <c r="AE16" s="104">
        <v>-116395</v>
      </c>
      <c r="AF16" s="40">
        <v>-33428</v>
      </c>
      <c r="AG16" s="40">
        <v>-40474</v>
      </c>
      <c r="AH16" s="40">
        <v>-34877</v>
      </c>
      <c r="AI16" s="40">
        <v>-43855</v>
      </c>
      <c r="AJ16" s="104">
        <v>-152634</v>
      </c>
      <c r="AK16" s="262">
        <v>-33336</v>
      </c>
      <c r="AL16" s="262">
        <v>-100672</v>
      </c>
      <c r="AM16" s="262">
        <v>-42353</v>
      </c>
      <c r="AN16" s="262">
        <v>-28969</v>
      </c>
      <c r="AO16" s="104">
        <v>-205330</v>
      </c>
      <c r="AP16" s="262">
        <v>-40170</v>
      </c>
      <c r="AQ16" s="262">
        <v>-18537</v>
      </c>
      <c r="AR16" s="262">
        <v>-36599</v>
      </c>
      <c r="AS16" s="262">
        <v>-42219</v>
      </c>
      <c r="AT16" s="104">
        <v>-137525</v>
      </c>
      <c r="AU16" s="262">
        <v>-47169</v>
      </c>
    </row>
    <row r="17" spans="1:48" ht="15" customHeight="1" x14ac:dyDescent="0.25">
      <c r="A17" s="127" t="s">
        <v>115</v>
      </c>
      <c r="B17" s="41">
        <f>SUM(B14:B16)</f>
        <v>-88475</v>
      </c>
      <c r="C17" s="41">
        <f t="shared" ref="C17:E17" si="9">SUM(C14:C16)</f>
        <v>-99984</v>
      </c>
      <c r="D17" s="41">
        <f t="shared" si="9"/>
        <v>-98667</v>
      </c>
      <c r="E17" s="41">
        <f t="shared" si="9"/>
        <v>-108355</v>
      </c>
      <c r="F17" s="53">
        <f t="shared" ref="F17" si="10">SUM(F14:F16)</f>
        <v>-395482</v>
      </c>
      <c r="G17" s="41">
        <f>SUM(G14:G16)</f>
        <v>-116372</v>
      </c>
      <c r="H17" s="41">
        <f>SUM(H14:H16)</f>
        <v>-128070</v>
      </c>
      <c r="I17" s="41">
        <v>-131357</v>
      </c>
      <c r="J17" s="41">
        <f>SUM(J14:J16)</f>
        <v>-148173</v>
      </c>
      <c r="K17" s="53">
        <f>SUM(K14:K16)</f>
        <v>-523971</v>
      </c>
      <c r="L17" s="41">
        <f>SUM(L14:L16)</f>
        <v>-161767</v>
      </c>
      <c r="M17" s="41">
        <f>SUM(M14:M16)</f>
        <v>-173750</v>
      </c>
      <c r="N17" s="41">
        <v>-171433</v>
      </c>
      <c r="O17" s="41">
        <f t="shared" ref="O17:U17" si="11">SUM(O14:O16)</f>
        <v>-174701</v>
      </c>
      <c r="P17" s="105">
        <f t="shared" si="11"/>
        <v>-681651</v>
      </c>
      <c r="Q17" s="41">
        <f t="shared" si="11"/>
        <v>-175558</v>
      </c>
      <c r="R17" s="41">
        <f t="shared" si="11"/>
        <v>-175914</v>
      </c>
      <c r="S17" s="41">
        <f t="shared" si="11"/>
        <v>-164785</v>
      </c>
      <c r="T17" s="41">
        <f t="shared" si="11"/>
        <v>-170872</v>
      </c>
      <c r="U17" s="105">
        <f t="shared" si="11"/>
        <v>-687129</v>
      </c>
      <c r="V17" s="41">
        <f t="shared" ref="V17:Z17" si="12">SUM(V14:V16)</f>
        <v>-176256</v>
      </c>
      <c r="W17" s="41">
        <f t="shared" si="12"/>
        <v>-175285</v>
      </c>
      <c r="X17" s="41">
        <f t="shared" si="12"/>
        <v>-160234</v>
      </c>
      <c r="Y17" s="41">
        <f t="shared" si="12"/>
        <v>-176047</v>
      </c>
      <c r="Z17" s="105">
        <f t="shared" si="12"/>
        <v>-687822</v>
      </c>
      <c r="AA17" s="41">
        <f t="shared" ref="AA17:AE17" si="13">SUM(AA14:AA16)</f>
        <v>-148404</v>
      </c>
      <c r="AB17" s="41">
        <f t="shared" si="13"/>
        <v>-136213</v>
      </c>
      <c r="AC17" s="41">
        <f t="shared" si="13"/>
        <v>-143285</v>
      </c>
      <c r="AD17" s="41">
        <f>SUM(AD14:AD16)</f>
        <v>-151291</v>
      </c>
      <c r="AE17" s="105">
        <f t="shared" si="13"/>
        <v>-579193</v>
      </c>
      <c r="AF17" s="41">
        <f t="shared" ref="AF17:AH17" si="14">SUM(AF14:AF16)</f>
        <v>-144479</v>
      </c>
      <c r="AG17" s="41">
        <f t="shared" si="14"/>
        <v>-163140</v>
      </c>
      <c r="AH17" s="41">
        <f t="shared" si="14"/>
        <v>-143841</v>
      </c>
      <c r="AI17" s="41">
        <f t="shared" ref="AI17:AJ17" si="15">SUM(AI14:AI16)</f>
        <v>-178607</v>
      </c>
      <c r="AJ17" s="105">
        <f t="shared" si="15"/>
        <v>-630067</v>
      </c>
      <c r="AK17" s="263">
        <f>SUM(AK14:AK16)</f>
        <v>-156362</v>
      </c>
      <c r="AL17" s="263">
        <f>SUM(AL14:AL16)</f>
        <v>-241481</v>
      </c>
      <c r="AM17" s="263">
        <f t="shared" ref="AM17:AO17" si="16">SUM(AM14:AM16)</f>
        <v>-175129</v>
      </c>
      <c r="AN17" s="263">
        <f t="shared" si="16"/>
        <v>-197950</v>
      </c>
      <c r="AO17" s="105">
        <f t="shared" si="16"/>
        <v>-770922</v>
      </c>
      <c r="AP17" s="263">
        <f>SUM(AP14:AP16)</f>
        <v>-205002</v>
      </c>
      <c r="AQ17" s="263">
        <f>SUM(AQ14:AQ16)</f>
        <v>-198823</v>
      </c>
      <c r="AR17" s="263">
        <f>SUM(AR14:AR16)</f>
        <v>-193693</v>
      </c>
      <c r="AS17" s="263">
        <f t="shared" ref="AS17:AT17" si="17">SUM(AS14:AS16)</f>
        <v>-188308</v>
      </c>
      <c r="AT17" s="105">
        <f t="shared" si="17"/>
        <v>-785826</v>
      </c>
      <c r="AU17" s="263">
        <f>SUM(AU14:AU16)</f>
        <v>-206869</v>
      </c>
    </row>
    <row r="18" spans="1:48" ht="15" customHeight="1" x14ac:dyDescent="0.25">
      <c r="A18" s="2" t="s">
        <v>116</v>
      </c>
      <c r="B18" s="41">
        <f>SUM(B11, B17)</f>
        <v>16840</v>
      </c>
      <c r="C18" s="41">
        <f t="shared" ref="C18:E18" si="18">SUM(C11, C17)</f>
        <v>7840</v>
      </c>
      <c r="D18" s="41">
        <f t="shared" si="18"/>
        <v>17831</v>
      </c>
      <c r="E18" s="41">
        <f t="shared" si="18"/>
        <v>33825</v>
      </c>
      <c r="F18" s="53">
        <f t="shared" ref="F18" si="19">SUM(F11, F17)</f>
        <v>76334</v>
      </c>
      <c r="G18" s="41">
        <f>SUM(G11, G17)</f>
        <v>27788</v>
      </c>
      <c r="H18" s="41">
        <f>SUM(H11,H17)</f>
        <v>17883</v>
      </c>
      <c r="I18" s="41">
        <v>22868</v>
      </c>
      <c r="J18" s="41">
        <f>SUM(J11,J17)</f>
        <v>52466</v>
      </c>
      <c r="K18" s="53">
        <f>SUM(K11,K17)</f>
        <v>121004</v>
      </c>
      <c r="L18" s="41">
        <f>SUM(L11,L17)</f>
        <v>21052</v>
      </c>
      <c r="M18" s="41">
        <f>SUM(M11,M17)</f>
        <v>13264</v>
      </c>
      <c r="N18" s="41">
        <v>33013</v>
      </c>
      <c r="O18" s="41">
        <f t="shared" ref="O18:U18" si="20">SUM(O11,O17)</f>
        <v>70516</v>
      </c>
      <c r="P18" s="105">
        <f t="shared" si="20"/>
        <v>137844</v>
      </c>
      <c r="Q18" s="41">
        <f t="shared" si="20"/>
        <v>34801</v>
      </c>
      <c r="R18" s="41">
        <f t="shared" si="20"/>
        <v>24351</v>
      </c>
      <c r="S18" s="41">
        <f t="shared" si="20"/>
        <v>25776</v>
      </c>
      <c r="T18" s="41">
        <f t="shared" si="20"/>
        <v>62179</v>
      </c>
      <c r="U18" s="105">
        <f t="shared" si="20"/>
        <v>147107</v>
      </c>
      <c r="V18" s="41">
        <f t="shared" ref="V18:Z18" si="21">SUM(V11,V17)</f>
        <v>33393</v>
      </c>
      <c r="W18" s="41">
        <f t="shared" si="21"/>
        <v>19574</v>
      </c>
      <c r="X18" s="41">
        <f t="shared" si="21"/>
        <v>29370</v>
      </c>
      <c r="Y18" s="41">
        <f t="shared" si="21"/>
        <v>58877</v>
      </c>
      <c r="Z18" s="105">
        <f t="shared" si="21"/>
        <v>141214</v>
      </c>
      <c r="AA18" s="41">
        <f t="shared" ref="AA18:AE18" si="22">SUM(AA11,AA17)</f>
        <v>23802</v>
      </c>
      <c r="AB18" s="41">
        <f t="shared" si="22"/>
        <v>9789</v>
      </c>
      <c r="AC18" s="41">
        <f t="shared" si="22"/>
        <v>8051</v>
      </c>
      <c r="AD18" s="41">
        <f>SUM(AD11,AD17)</f>
        <v>67183</v>
      </c>
      <c r="AE18" s="105">
        <f t="shared" si="22"/>
        <v>108825</v>
      </c>
      <c r="AF18" s="41">
        <f t="shared" ref="AF18:AH18" si="23">SUM(AF11,AF17)</f>
        <v>34219</v>
      </c>
      <c r="AG18" s="41">
        <f t="shared" si="23"/>
        <v>19729</v>
      </c>
      <c r="AH18" s="41">
        <f t="shared" si="23"/>
        <v>32185</v>
      </c>
      <c r="AI18" s="41">
        <f>SUM(AI11,AI17)</f>
        <v>65744</v>
      </c>
      <c r="AJ18" s="105">
        <f t="shared" ref="AJ18" si="24">SUM(AJ11,AJ17)</f>
        <v>151877</v>
      </c>
      <c r="AK18" s="263">
        <f t="shared" ref="AK18:AO18" si="25">SUM(AK11,AK17)</f>
        <v>27662</v>
      </c>
      <c r="AL18" s="263">
        <f t="shared" si="25"/>
        <v>-56506</v>
      </c>
      <c r="AM18" s="263">
        <f t="shared" si="25"/>
        <v>4478</v>
      </c>
      <c r="AN18" s="263">
        <f t="shared" si="25"/>
        <v>48644</v>
      </c>
      <c r="AO18" s="105">
        <f t="shared" si="25"/>
        <v>24278</v>
      </c>
      <c r="AP18" s="263">
        <f>SUM(AP11,AP17)</f>
        <v>-23493</v>
      </c>
      <c r="AQ18" s="263">
        <f>SUM(AQ11,AQ17)</f>
        <v>959</v>
      </c>
      <c r="AR18" s="263">
        <f>SUM(AR11,AR17)</f>
        <v>11434</v>
      </c>
      <c r="AS18" s="263">
        <f t="shared" ref="AS18" si="26">SUM(AS11,AS17)</f>
        <v>88318</v>
      </c>
      <c r="AT18" s="105">
        <f>SUM(AT11,AT17)</f>
        <v>77218</v>
      </c>
      <c r="AU18" s="263">
        <f>SUM(AU11,AU17)</f>
        <v>10354</v>
      </c>
      <c r="AV18" s="311"/>
    </row>
    <row r="19" spans="1:48" ht="15" customHeight="1" x14ac:dyDescent="0.25">
      <c r="A19" s="2" t="s">
        <v>117</v>
      </c>
      <c r="B19" s="42">
        <v>3920</v>
      </c>
      <c r="C19" s="42">
        <v>-2546</v>
      </c>
      <c r="D19" s="42">
        <v>-6650</v>
      </c>
      <c r="E19" s="42">
        <v>735</v>
      </c>
      <c r="F19" s="54">
        <v>-4541</v>
      </c>
      <c r="G19" s="42">
        <v>-1317</v>
      </c>
      <c r="H19" s="42">
        <v>-94</v>
      </c>
      <c r="I19" s="42">
        <v>-570</v>
      </c>
      <c r="J19" s="42">
        <v>1435</v>
      </c>
      <c r="K19" s="54">
        <v>-546</v>
      </c>
      <c r="L19" s="42">
        <v>-2333</v>
      </c>
      <c r="M19" s="42">
        <v>-2094</v>
      </c>
      <c r="N19" s="42">
        <v>-2886</v>
      </c>
      <c r="O19" s="42">
        <v>-2221</v>
      </c>
      <c r="P19" s="106">
        <v>-9534</v>
      </c>
      <c r="Q19" s="42">
        <v>-1325</v>
      </c>
      <c r="R19" s="42">
        <v>-1006</v>
      </c>
      <c r="S19" s="42">
        <v>-1007</v>
      </c>
      <c r="T19" s="42">
        <v>-1746</v>
      </c>
      <c r="U19" s="106">
        <v>-5084</v>
      </c>
      <c r="V19" s="42">
        <v>-1974</v>
      </c>
      <c r="W19" s="42">
        <v>-1354</v>
      </c>
      <c r="X19" s="42">
        <v>-900</v>
      </c>
      <c r="Y19" s="42">
        <v>-1521</v>
      </c>
      <c r="Z19" s="106">
        <v>-5749</v>
      </c>
      <c r="AA19" s="42">
        <v>-334</v>
      </c>
      <c r="AB19" s="42">
        <v>-1003</v>
      </c>
      <c r="AC19" s="42">
        <v>-491</v>
      </c>
      <c r="AD19" s="42">
        <v>-111</v>
      </c>
      <c r="AE19" s="106">
        <v>-1939</v>
      </c>
      <c r="AF19" s="42">
        <v>-718</v>
      </c>
      <c r="AG19" s="42">
        <v>-519</v>
      </c>
      <c r="AH19" s="42">
        <v>-154</v>
      </c>
      <c r="AI19" s="42">
        <v>3330</v>
      </c>
      <c r="AJ19" s="106">
        <v>1939</v>
      </c>
      <c r="AK19" s="264">
        <v>4030</v>
      </c>
      <c r="AL19" s="264">
        <v>16412</v>
      </c>
      <c r="AM19" s="264">
        <v>3485</v>
      </c>
      <c r="AN19" s="264">
        <v>-6144</v>
      </c>
      <c r="AO19" s="106">
        <v>17783</v>
      </c>
      <c r="AP19" s="264">
        <v>6827</v>
      </c>
      <c r="AQ19" s="264">
        <v>-1852</v>
      </c>
      <c r="AR19" s="264">
        <v>-2967</v>
      </c>
      <c r="AS19" s="264">
        <v>-4498</v>
      </c>
      <c r="AT19" s="106">
        <v>-2490</v>
      </c>
      <c r="AU19" s="264">
        <v>1181</v>
      </c>
    </row>
    <row r="20" spans="1:48" ht="15" customHeight="1" x14ac:dyDescent="0.25">
      <c r="A20" s="2" t="s">
        <v>118</v>
      </c>
      <c r="B20" s="41">
        <f>SUM(B18:B19)</f>
        <v>20760</v>
      </c>
      <c r="C20" s="41">
        <f t="shared" ref="C20:E20" si="27">SUM(C18:C19)</f>
        <v>5294</v>
      </c>
      <c r="D20" s="41">
        <f t="shared" si="27"/>
        <v>11181</v>
      </c>
      <c r="E20" s="41">
        <f t="shared" si="27"/>
        <v>34560</v>
      </c>
      <c r="F20" s="53">
        <v>71793</v>
      </c>
      <c r="G20" s="41">
        <f>SUM(G18:G19)</f>
        <v>26471</v>
      </c>
      <c r="H20" s="41">
        <f>SUM(H18:H19)</f>
        <v>17789</v>
      </c>
      <c r="I20" s="41">
        <v>22298</v>
      </c>
      <c r="J20" s="41">
        <f>SUM(J18:J19)</f>
        <v>53901</v>
      </c>
      <c r="K20" s="53">
        <f>SUM(K18:K19)</f>
        <v>120458</v>
      </c>
      <c r="L20" s="41">
        <f>SUM(L18:L19)</f>
        <v>18719</v>
      </c>
      <c r="M20" s="41">
        <f>SUM(M18:M19)</f>
        <v>11170</v>
      </c>
      <c r="N20" s="41">
        <v>30127</v>
      </c>
      <c r="O20" s="41">
        <f t="shared" ref="O20:Z20" si="28">SUM(O18:O19)</f>
        <v>68295</v>
      </c>
      <c r="P20" s="105">
        <f t="shared" si="28"/>
        <v>128310</v>
      </c>
      <c r="Q20" s="41">
        <f t="shared" si="28"/>
        <v>33476</v>
      </c>
      <c r="R20" s="41">
        <f t="shared" si="28"/>
        <v>23345</v>
      </c>
      <c r="S20" s="41">
        <f t="shared" si="28"/>
        <v>24769</v>
      </c>
      <c r="T20" s="41">
        <f t="shared" si="28"/>
        <v>60433</v>
      </c>
      <c r="U20" s="105">
        <f t="shared" si="28"/>
        <v>142023</v>
      </c>
      <c r="V20" s="41">
        <f t="shared" si="28"/>
        <v>31419</v>
      </c>
      <c r="W20" s="41">
        <f t="shared" si="28"/>
        <v>18220</v>
      </c>
      <c r="X20" s="41">
        <f t="shared" si="28"/>
        <v>28470</v>
      </c>
      <c r="Y20" s="41">
        <f t="shared" si="28"/>
        <v>57356</v>
      </c>
      <c r="Z20" s="105">
        <f t="shared" si="28"/>
        <v>135465</v>
      </c>
      <c r="AA20" s="41">
        <f>SUM(AA18:AA19)</f>
        <v>23468</v>
      </c>
      <c r="AB20" s="41">
        <f t="shared" ref="AB20:AE20" si="29">SUM(AB18:AB19)</f>
        <v>8786</v>
      </c>
      <c r="AC20" s="41">
        <f t="shared" si="29"/>
        <v>7560</v>
      </c>
      <c r="AD20" s="41">
        <f>SUM(AD18:AD19)</f>
        <v>67072</v>
      </c>
      <c r="AE20" s="105">
        <f t="shared" si="29"/>
        <v>106886</v>
      </c>
      <c r="AF20" s="41">
        <f>SUM(AF18:AF19)</f>
        <v>33501</v>
      </c>
      <c r="AG20" s="41">
        <f t="shared" ref="AG20:AH20" si="30">SUM(AG18:AG19)</f>
        <v>19210</v>
      </c>
      <c r="AH20" s="41">
        <f t="shared" si="30"/>
        <v>32031</v>
      </c>
      <c r="AI20" s="41">
        <f t="shared" ref="AI20:AJ20" si="31">SUM(AI18:AI19)</f>
        <v>69074</v>
      </c>
      <c r="AJ20" s="105">
        <f t="shared" si="31"/>
        <v>153816</v>
      </c>
      <c r="AK20" s="263">
        <f>SUM(AK18:AK19)</f>
        <v>31692</v>
      </c>
      <c r="AL20" s="263">
        <f>SUM(AL18:AL19)</f>
        <v>-40094</v>
      </c>
      <c r="AM20" s="263">
        <f>SUM(AM18:AM19)</f>
        <v>7963</v>
      </c>
      <c r="AN20" s="263">
        <f t="shared" ref="AN20:AO20" si="32">SUM(AN18:AN19)</f>
        <v>42500</v>
      </c>
      <c r="AO20" s="105">
        <f t="shared" si="32"/>
        <v>42061</v>
      </c>
      <c r="AP20" s="263">
        <f t="shared" ref="AP20:AU20" si="33">SUM(AP18:AP19)</f>
        <v>-16666</v>
      </c>
      <c r="AQ20" s="263">
        <f t="shared" si="33"/>
        <v>-893</v>
      </c>
      <c r="AR20" s="263">
        <f t="shared" si="33"/>
        <v>8467</v>
      </c>
      <c r="AS20" s="263">
        <f t="shared" si="33"/>
        <v>83820</v>
      </c>
      <c r="AT20" s="105">
        <f t="shared" si="33"/>
        <v>74728</v>
      </c>
      <c r="AU20" s="263">
        <f t="shared" si="33"/>
        <v>11535</v>
      </c>
    </row>
    <row r="21" spans="1:48" ht="15" customHeight="1" x14ac:dyDescent="0.25">
      <c r="A21" s="2" t="s">
        <v>119</v>
      </c>
      <c r="B21" s="42">
        <v>-7143</v>
      </c>
      <c r="C21" s="42">
        <v>-1365</v>
      </c>
      <c r="D21" s="42">
        <v>-5388</v>
      </c>
      <c r="E21" s="42">
        <v>4378</v>
      </c>
      <c r="F21" s="54">
        <v>-9517</v>
      </c>
      <c r="G21" s="42">
        <v>-7944</v>
      </c>
      <c r="H21" s="42">
        <v>-4450</v>
      </c>
      <c r="I21" s="42">
        <v>-7574</v>
      </c>
      <c r="J21" s="42">
        <v>-13161</v>
      </c>
      <c r="K21" s="54">
        <v>-33129</v>
      </c>
      <c r="L21" s="42">
        <v>-4201</v>
      </c>
      <c r="M21" s="42">
        <v>-3665</v>
      </c>
      <c r="N21" s="42">
        <v>-7858</v>
      </c>
      <c r="O21" s="42">
        <v>-15927</v>
      </c>
      <c r="P21" s="106">
        <v>-31651</v>
      </c>
      <c r="Q21" s="42">
        <v>-12386</v>
      </c>
      <c r="R21" s="42">
        <v>-8638</v>
      </c>
      <c r="S21" s="42">
        <v>-6821</v>
      </c>
      <c r="T21" s="42">
        <v>-18299</v>
      </c>
      <c r="U21" s="106">
        <v>-46144</v>
      </c>
      <c r="V21" s="42">
        <v>-10018</v>
      </c>
      <c r="W21" s="42">
        <v>-5683</v>
      </c>
      <c r="X21" s="42">
        <v>-7913</v>
      </c>
      <c r="Y21" s="42">
        <v>-15882</v>
      </c>
      <c r="Z21" s="106">
        <v>-39496</v>
      </c>
      <c r="AA21" s="42">
        <v>-7040</v>
      </c>
      <c r="AB21" s="42">
        <v>-2636</v>
      </c>
      <c r="AC21" s="42">
        <v>-2267</v>
      </c>
      <c r="AD21" s="42">
        <v>-20254</v>
      </c>
      <c r="AE21" s="106">
        <v>-32197</v>
      </c>
      <c r="AF21" s="42">
        <v>-10051</v>
      </c>
      <c r="AG21" s="42">
        <v>-4181</v>
      </c>
      <c r="AH21" s="42">
        <v>-7801</v>
      </c>
      <c r="AI21" s="42">
        <v>5864</v>
      </c>
      <c r="AJ21" s="106">
        <v>-16169</v>
      </c>
      <c r="AK21" s="264">
        <v>-10414</v>
      </c>
      <c r="AL21" s="264">
        <v>7121</v>
      </c>
      <c r="AM21" s="264">
        <v>-1442</v>
      </c>
      <c r="AN21" s="264">
        <v>-26451</v>
      </c>
      <c r="AO21" s="106">
        <v>-31186</v>
      </c>
      <c r="AP21" s="264">
        <v>4595</v>
      </c>
      <c r="AQ21" s="264">
        <v>-1078</v>
      </c>
      <c r="AR21" s="264">
        <v>-1832</v>
      </c>
      <c r="AS21" s="264">
        <v>-21769</v>
      </c>
      <c r="AT21" s="106">
        <v>-20084</v>
      </c>
      <c r="AU21" s="264">
        <v>-2969</v>
      </c>
    </row>
    <row r="22" spans="1:48" ht="15" customHeight="1" thickBot="1" x14ac:dyDescent="0.3">
      <c r="A22" s="2" t="s">
        <v>120</v>
      </c>
      <c r="B22" s="43">
        <f>SUM(B20:B21)</f>
        <v>13617</v>
      </c>
      <c r="C22" s="43">
        <f t="shared" ref="C22:E22" si="34">SUM(C20:C21)</f>
        <v>3929</v>
      </c>
      <c r="D22" s="43">
        <f t="shared" si="34"/>
        <v>5793</v>
      </c>
      <c r="E22" s="43">
        <f t="shared" si="34"/>
        <v>38938</v>
      </c>
      <c r="F22" s="55">
        <f t="shared" ref="F22" si="35">SUM(F20:F21)</f>
        <v>62276</v>
      </c>
      <c r="G22" s="43">
        <f>SUM(G20:G21)</f>
        <v>18527</v>
      </c>
      <c r="H22" s="43">
        <f>SUM(H20:H21)</f>
        <v>13339</v>
      </c>
      <c r="I22" s="43">
        <v>14724</v>
      </c>
      <c r="J22" s="43">
        <f t="shared" ref="J22:P22" si="36">SUM(J20:J21)</f>
        <v>40740</v>
      </c>
      <c r="K22" s="55">
        <f t="shared" si="36"/>
        <v>87329</v>
      </c>
      <c r="L22" s="43">
        <f t="shared" si="36"/>
        <v>14518</v>
      </c>
      <c r="M22" s="43">
        <f>SUM(M20:M21)</f>
        <v>7505</v>
      </c>
      <c r="N22" s="43">
        <v>22269</v>
      </c>
      <c r="O22" s="43">
        <f t="shared" si="36"/>
        <v>52368</v>
      </c>
      <c r="P22" s="107">
        <f t="shared" si="36"/>
        <v>96659</v>
      </c>
      <c r="Q22" s="43">
        <f>SUM(Q20:Q21)</f>
        <v>21090</v>
      </c>
      <c r="R22" s="43">
        <f>SUM(R20:R21)</f>
        <v>14707</v>
      </c>
      <c r="S22" s="43">
        <f>SUM(S20:S21)</f>
        <v>17948</v>
      </c>
      <c r="T22" s="43">
        <f t="shared" ref="T22:U22" si="37">SUM(T20:T21)</f>
        <v>42134</v>
      </c>
      <c r="U22" s="107">
        <f t="shared" si="37"/>
        <v>95879</v>
      </c>
      <c r="V22" s="43">
        <f>SUM(V20:V21)</f>
        <v>21401</v>
      </c>
      <c r="W22" s="43">
        <f>SUM(W20:W21)</f>
        <v>12537</v>
      </c>
      <c r="X22" s="43">
        <f>SUM(X20:X21)</f>
        <v>20557</v>
      </c>
      <c r="Y22" s="43">
        <f t="shared" ref="Y22:Z22" si="38">SUM(Y20:Y21)</f>
        <v>41474</v>
      </c>
      <c r="Z22" s="107">
        <f t="shared" si="38"/>
        <v>95969</v>
      </c>
      <c r="AA22" s="43">
        <f>SUM(AA20:AA21)</f>
        <v>16428</v>
      </c>
      <c r="AB22" s="43">
        <f>SUM(AB20:AB21)</f>
        <v>6150</v>
      </c>
      <c r="AC22" s="43">
        <f>SUM(AC20:AC21)</f>
        <v>5293</v>
      </c>
      <c r="AD22" s="43">
        <f>SUM(AD20:AD21)</f>
        <v>46818</v>
      </c>
      <c r="AE22" s="107">
        <f t="shared" ref="AE22" si="39">SUM(AE20:AE21)</f>
        <v>74689</v>
      </c>
      <c r="AF22" s="43">
        <f>SUM(AF20:AF21)</f>
        <v>23450</v>
      </c>
      <c r="AG22" s="43">
        <f>SUM(AG20:AG21)</f>
        <v>15029</v>
      </c>
      <c r="AH22" s="43">
        <f>SUM(AH20:AH21)</f>
        <v>24230</v>
      </c>
      <c r="AI22" s="43">
        <f t="shared" ref="AI22:AJ22" si="40">SUM(AI20:AI21)</f>
        <v>74938</v>
      </c>
      <c r="AJ22" s="107">
        <f t="shared" si="40"/>
        <v>137647</v>
      </c>
      <c r="AK22" s="265">
        <f>SUM(AK20:AK21)</f>
        <v>21278</v>
      </c>
      <c r="AL22" s="265">
        <f>SUM(AL20:AL21)</f>
        <v>-32973</v>
      </c>
      <c r="AM22" s="265">
        <f>SUM(AM20:AM21)</f>
        <v>6521</v>
      </c>
      <c r="AN22" s="265">
        <f t="shared" ref="AN22:AO22" si="41">SUM(AN20:AN21)</f>
        <v>16049</v>
      </c>
      <c r="AO22" s="107">
        <f t="shared" si="41"/>
        <v>10875</v>
      </c>
      <c r="AP22" s="265">
        <f>SUM(AP20:AP21)</f>
        <v>-12071</v>
      </c>
      <c r="AQ22" s="265">
        <f>SUM(AQ20:AQ21)</f>
        <v>-1971</v>
      </c>
      <c r="AR22" s="265">
        <f>SUM(AR20:AR21)</f>
        <v>6635</v>
      </c>
      <c r="AS22" s="265">
        <f t="shared" ref="AS22" si="42">SUM(AS20:AS21)</f>
        <v>62051</v>
      </c>
      <c r="AT22" s="107">
        <f>SUM(AT20:AT21)</f>
        <v>54644</v>
      </c>
      <c r="AU22" s="265">
        <f>SUM(AU20:AU21)</f>
        <v>8566</v>
      </c>
    </row>
    <row r="23" spans="1:48" ht="15" customHeight="1" thickTop="1" x14ac:dyDescent="0.25">
      <c r="A23" s="3"/>
      <c r="B23" s="36"/>
      <c r="C23" s="36"/>
      <c r="D23" s="36"/>
      <c r="E23" s="36"/>
      <c r="F23" s="47"/>
      <c r="G23" s="36"/>
      <c r="H23" s="36"/>
      <c r="I23" s="36"/>
      <c r="J23" s="36"/>
      <c r="K23" s="47"/>
      <c r="L23" s="36"/>
      <c r="M23" s="36"/>
      <c r="N23" s="36"/>
      <c r="O23" s="36"/>
      <c r="P23" s="99"/>
      <c r="Q23" s="36"/>
      <c r="R23" s="36"/>
      <c r="S23" s="36"/>
      <c r="T23" s="36"/>
      <c r="U23" s="99"/>
      <c r="V23" s="36"/>
      <c r="W23" s="36"/>
      <c r="X23" s="36"/>
      <c r="Y23" s="36"/>
      <c r="Z23" s="99"/>
      <c r="AA23" s="36"/>
      <c r="AB23" s="36"/>
      <c r="AC23" s="36"/>
      <c r="AD23" s="36"/>
      <c r="AE23" s="99"/>
      <c r="AF23" s="36"/>
      <c r="AG23" s="36"/>
      <c r="AH23" s="36"/>
      <c r="AI23" s="36"/>
      <c r="AJ23" s="99"/>
      <c r="AK23" s="258"/>
      <c r="AL23" s="258"/>
      <c r="AM23" s="258"/>
      <c r="AN23" s="258"/>
      <c r="AO23" s="99"/>
      <c r="AP23" s="258"/>
      <c r="AQ23" s="258"/>
      <c r="AR23" s="258"/>
      <c r="AS23" s="258"/>
      <c r="AT23" s="99"/>
      <c r="AU23" s="258"/>
    </row>
    <row r="24" spans="1:48" ht="30.75" customHeight="1" thickBot="1" x14ac:dyDescent="0.3">
      <c r="A24" s="141" t="s">
        <v>121</v>
      </c>
      <c r="B24" s="43">
        <f>B22-B25</f>
        <v>12982</v>
      </c>
      <c r="C24" s="43">
        <f t="shared" ref="C24:E24" si="43">C22-C25</f>
        <v>3540</v>
      </c>
      <c r="D24" s="43">
        <f t="shared" si="43"/>
        <v>5096</v>
      </c>
      <c r="E24" s="43">
        <f t="shared" si="43"/>
        <v>37936</v>
      </c>
      <c r="F24" s="55">
        <f t="shared" ref="F24" si="44">F22-F25</f>
        <v>59553</v>
      </c>
      <c r="G24" s="43">
        <f>G22-G25</f>
        <v>17131</v>
      </c>
      <c r="H24" s="43">
        <f>H22-H25</f>
        <v>12200</v>
      </c>
      <c r="I24" s="43">
        <v>13539</v>
      </c>
      <c r="J24" s="43">
        <f>J22-J25</f>
        <v>39403</v>
      </c>
      <c r="K24" s="55">
        <f>K22-K25</f>
        <v>82272</v>
      </c>
      <c r="L24" s="43">
        <f>L22-L25</f>
        <v>12442</v>
      </c>
      <c r="M24" s="43">
        <f>M22-M25</f>
        <v>5970</v>
      </c>
      <c r="N24" s="43">
        <v>19774</v>
      </c>
      <c r="O24" s="43">
        <f t="shared" ref="O24:X24" si="45">O22-O25</f>
        <v>53030</v>
      </c>
      <c r="P24" s="107">
        <f t="shared" si="45"/>
        <v>91214</v>
      </c>
      <c r="Q24" s="43">
        <f t="shared" si="45"/>
        <v>19809</v>
      </c>
      <c r="R24" s="43">
        <f t="shared" si="45"/>
        <v>13726</v>
      </c>
      <c r="S24" s="43">
        <f t="shared" si="45"/>
        <v>17143</v>
      </c>
      <c r="T24" s="43">
        <f t="shared" si="45"/>
        <v>37966</v>
      </c>
      <c r="U24" s="107">
        <f t="shared" si="45"/>
        <v>88644</v>
      </c>
      <c r="V24" s="43">
        <f t="shared" si="45"/>
        <v>19120</v>
      </c>
      <c r="W24" s="43">
        <f t="shared" si="45"/>
        <v>10823</v>
      </c>
      <c r="X24" s="43">
        <f t="shared" si="45"/>
        <v>18778</v>
      </c>
      <c r="Y24" s="43">
        <f t="shared" ref="Y24:AC24" si="46">Y22-Y25</f>
        <v>42024</v>
      </c>
      <c r="Z24" s="107">
        <f t="shared" si="46"/>
        <v>90745</v>
      </c>
      <c r="AA24" s="43">
        <f t="shared" si="46"/>
        <v>15459</v>
      </c>
      <c r="AB24" s="43">
        <f t="shared" si="46"/>
        <v>5716</v>
      </c>
      <c r="AC24" s="43">
        <f t="shared" si="46"/>
        <v>5227</v>
      </c>
      <c r="AD24" s="43">
        <f>AD22-AD25</f>
        <v>45277</v>
      </c>
      <c r="AE24" s="107">
        <f t="shared" ref="AE24:AH24" si="47">AE22-AE25</f>
        <v>71679</v>
      </c>
      <c r="AF24" s="43">
        <f t="shared" si="47"/>
        <v>22406</v>
      </c>
      <c r="AG24" s="43">
        <f t="shared" si="47"/>
        <v>14804</v>
      </c>
      <c r="AH24" s="43">
        <f t="shared" si="47"/>
        <v>23481</v>
      </c>
      <c r="AI24" s="43">
        <f t="shared" ref="AI24:AK24" si="48">AI22-AI25</f>
        <v>73765</v>
      </c>
      <c r="AJ24" s="107">
        <f t="shared" si="48"/>
        <v>134456</v>
      </c>
      <c r="AK24" s="265">
        <f t="shared" si="48"/>
        <v>20587</v>
      </c>
      <c r="AL24" s="265">
        <f>AL22-AL25</f>
        <v>-33614</v>
      </c>
      <c r="AM24" s="265">
        <f t="shared" ref="AM24:AP24" si="49">AM22-AM25</f>
        <v>6579</v>
      </c>
      <c r="AN24" s="265">
        <f t="shared" si="49"/>
        <v>15400</v>
      </c>
      <c r="AO24" s="107">
        <f t="shared" si="49"/>
        <v>8952</v>
      </c>
      <c r="AP24" s="265">
        <f t="shared" si="49"/>
        <v>-11809</v>
      </c>
      <c r="AQ24" s="265">
        <f>AQ22-AQ25</f>
        <v>-2876</v>
      </c>
      <c r="AR24" s="265">
        <f t="shared" ref="AR24" si="50">AR22-AR25</f>
        <v>6927</v>
      </c>
      <c r="AS24" s="265">
        <f>AS22-AS25</f>
        <v>61017</v>
      </c>
      <c r="AT24" s="107">
        <f>AT22-AT25</f>
        <v>53259</v>
      </c>
      <c r="AU24" s="265">
        <f t="shared" ref="AU24" si="51">AU22-AU25</f>
        <v>7244</v>
      </c>
    </row>
    <row r="25" spans="1:48" ht="14.4" thickTop="1" thickBot="1" x14ac:dyDescent="0.3">
      <c r="A25" s="2" t="s">
        <v>122</v>
      </c>
      <c r="B25" s="44">
        <v>635</v>
      </c>
      <c r="C25" s="44">
        <v>389</v>
      </c>
      <c r="D25" s="44">
        <v>697</v>
      </c>
      <c r="E25" s="44">
        <v>1002</v>
      </c>
      <c r="F25" s="56">
        <v>2723</v>
      </c>
      <c r="G25" s="44">
        <v>1396</v>
      </c>
      <c r="H25" s="44">
        <v>1139</v>
      </c>
      <c r="I25" s="44">
        <v>1185</v>
      </c>
      <c r="J25" s="44">
        <v>1337</v>
      </c>
      <c r="K25" s="56">
        <v>5057</v>
      </c>
      <c r="L25" s="44">
        <v>2076</v>
      </c>
      <c r="M25" s="44">
        <v>1535</v>
      </c>
      <c r="N25" s="44">
        <v>2495</v>
      </c>
      <c r="O25" s="44">
        <v>-662</v>
      </c>
      <c r="P25" s="108">
        <v>5445</v>
      </c>
      <c r="Q25" s="44">
        <v>1281</v>
      </c>
      <c r="R25" s="44">
        <v>981</v>
      </c>
      <c r="S25" s="44">
        <v>805</v>
      </c>
      <c r="T25" s="44">
        <v>4168</v>
      </c>
      <c r="U25" s="108">
        <v>7235</v>
      </c>
      <c r="V25" s="44">
        <v>2281</v>
      </c>
      <c r="W25" s="44">
        <v>1714</v>
      </c>
      <c r="X25" s="44">
        <v>1779</v>
      </c>
      <c r="Y25" s="44">
        <v>-550</v>
      </c>
      <c r="Z25" s="108">
        <v>5224</v>
      </c>
      <c r="AA25" s="44">
        <v>969</v>
      </c>
      <c r="AB25" s="44">
        <v>434</v>
      </c>
      <c r="AC25" s="44">
        <v>66</v>
      </c>
      <c r="AD25" s="44">
        <v>1541</v>
      </c>
      <c r="AE25" s="108">
        <v>3010</v>
      </c>
      <c r="AF25" s="44">
        <v>1044</v>
      </c>
      <c r="AG25" s="44">
        <v>225</v>
      </c>
      <c r="AH25" s="44">
        <v>749</v>
      </c>
      <c r="AI25" s="44">
        <v>1173</v>
      </c>
      <c r="AJ25" s="108">
        <v>3191</v>
      </c>
      <c r="AK25" s="266">
        <v>691</v>
      </c>
      <c r="AL25" s="266">
        <v>641</v>
      </c>
      <c r="AM25" s="266">
        <v>-58</v>
      </c>
      <c r="AN25" s="266">
        <v>649</v>
      </c>
      <c r="AO25" s="108">
        <v>1923</v>
      </c>
      <c r="AP25" s="266">
        <v>-262</v>
      </c>
      <c r="AQ25" s="266">
        <v>905</v>
      </c>
      <c r="AR25" s="266">
        <v>-292</v>
      </c>
      <c r="AS25" s="266">
        <v>1034</v>
      </c>
      <c r="AT25" s="108">
        <v>1385</v>
      </c>
      <c r="AU25" s="266">
        <v>1322</v>
      </c>
    </row>
    <row r="26" spans="1:48" ht="15" customHeight="1" thickTop="1" x14ac:dyDescent="0.25">
      <c r="A26" s="3"/>
      <c r="B26" s="3"/>
      <c r="C26" s="3"/>
      <c r="D26" s="3"/>
      <c r="E26" s="3"/>
      <c r="F26" s="6"/>
      <c r="G26" s="3"/>
      <c r="H26" s="3"/>
      <c r="I26" s="3"/>
      <c r="J26" s="3"/>
      <c r="K26" s="6"/>
      <c r="L26" s="3"/>
      <c r="M26" s="3"/>
      <c r="N26" s="3"/>
      <c r="O26" s="3"/>
      <c r="P26" s="97"/>
      <c r="Q26" s="3"/>
      <c r="R26" s="3"/>
      <c r="S26" s="3"/>
      <c r="T26" s="3"/>
      <c r="U26" s="97"/>
      <c r="V26" s="3"/>
      <c r="W26" s="3"/>
      <c r="X26" s="3"/>
      <c r="Y26" s="3"/>
      <c r="Z26" s="97"/>
      <c r="AA26" s="3"/>
      <c r="AB26" s="3"/>
      <c r="AC26" s="3"/>
      <c r="AD26" s="3"/>
      <c r="AE26" s="97"/>
      <c r="AF26" s="3"/>
      <c r="AG26" s="3"/>
      <c r="AH26" s="3"/>
      <c r="AI26" s="3"/>
      <c r="AJ26" s="97"/>
      <c r="AK26" s="256"/>
      <c r="AL26" s="256"/>
      <c r="AM26" s="256"/>
      <c r="AN26" s="256"/>
      <c r="AO26" s="97"/>
      <c r="AP26" s="256"/>
      <c r="AQ26" s="256"/>
      <c r="AR26" s="256"/>
      <c r="AS26" s="256"/>
      <c r="AT26" s="97"/>
      <c r="AU26" s="256"/>
    </row>
    <row r="27" spans="1:48" ht="26.4" x14ac:dyDescent="0.25">
      <c r="A27" s="2" t="s">
        <v>123</v>
      </c>
      <c r="B27" s="3"/>
      <c r="C27" s="3"/>
      <c r="D27" s="3"/>
      <c r="E27" s="3"/>
      <c r="F27" s="6"/>
      <c r="G27" s="3"/>
      <c r="H27" s="3"/>
      <c r="I27" s="3"/>
      <c r="J27" s="3"/>
      <c r="K27" s="6"/>
      <c r="L27" s="3"/>
      <c r="M27" s="3"/>
      <c r="N27" s="3"/>
      <c r="O27" s="3"/>
      <c r="P27" s="97"/>
      <c r="Q27" s="3"/>
      <c r="R27" s="3"/>
      <c r="S27" s="3"/>
      <c r="T27" s="3"/>
      <c r="U27" s="97"/>
      <c r="V27" s="3"/>
      <c r="W27" s="3"/>
      <c r="X27" s="3"/>
      <c r="Y27" s="3"/>
      <c r="Z27" s="97"/>
      <c r="AA27" s="3"/>
      <c r="AB27" s="3"/>
      <c r="AC27" s="3"/>
      <c r="AD27" s="3"/>
      <c r="AE27" s="97"/>
      <c r="AF27" s="3"/>
      <c r="AG27" s="3"/>
      <c r="AH27" s="3"/>
      <c r="AI27" s="3"/>
      <c r="AJ27" s="97"/>
      <c r="AK27" s="256"/>
      <c r="AL27" s="256"/>
      <c r="AM27" s="256"/>
      <c r="AN27" s="256"/>
      <c r="AO27" s="97"/>
      <c r="AP27" s="256"/>
      <c r="AQ27" s="256"/>
      <c r="AR27" s="256"/>
      <c r="AS27" s="256"/>
      <c r="AT27" s="97"/>
      <c r="AU27" s="256"/>
    </row>
    <row r="28" spans="1:48" ht="15" customHeight="1" x14ac:dyDescent="0.25">
      <c r="A28" s="2" t="s">
        <v>124</v>
      </c>
      <c r="B28" s="37">
        <f>'Shares Outstanding'!B6</f>
        <v>61174168</v>
      </c>
      <c r="C28" s="38">
        <v>61719367</v>
      </c>
      <c r="D28" s="38">
        <v>62082110</v>
      </c>
      <c r="E28" s="38">
        <v>62348620</v>
      </c>
      <c r="F28" s="48">
        <f>'Shares Outstanding'!E6</f>
        <v>61835499</v>
      </c>
      <c r="G28" s="37">
        <f>'Shares Outstanding'!F6</f>
        <v>62610013</v>
      </c>
      <c r="H28" s="38">
        <v>63246785</v>
      </c>
      <c r="I28" s="38">
        <v>63628351</v>
      </c>
      <c r="J28" s="38">
        <v>63760491</v>
      </c>
      <c r="K28" s="48">
        <f>'Shares Outstanding'!I6</f>
        <v>63337792</v>
      </c>
      <c r="L28" s="37">
        <f>'Shares Outstanding'!J6</f>
        <v>64189194</v>
      </c>
      <c r="M28" s="38">
        <v>65027985</v>
      </c>
      <c r="N28" s="38">
        <v>65412326</v>
      </c>
      <c r="O28" s="38">
        <v>65919533</v>
      </c>
      <c r="P28" s="100">
        <f>'Shares Outstanding'!M6</f>
        <v>65143036</v>
      </c>
      <c r="Q28" s="37">
        <f>'Shares Outstanding'!N6</f>
        <v>66160375</v>
      </c>
      <c r="R28" s="38">
        <v>66347599</v>
      </c>
      <c r="S28" s="38">
        <v>67075453</v>
      </c>
      <c r="T28" s="38">
        <v>66220030</v>
      </c>
      <c r="U28" s="100">
        <f>'Shares Outstanding'!Q6</f>
        <v>66456890</v>
      </c>
      <c r="V28" s="37">
        <f>'Shares Outstanding'!R6</f>
        <v>64336777</v>
      </c>
      <c r="W28" s="38">
        <v>64581476</v>
      </c>
      <c r="X28" s="38">
        <v>64868545</v>
      </c>
      <c r="Y28" s="38">
        <v>63430621</v>
      </c>
      <c r="Z28" s="100">
        <f>'Shares Outstanding'!U6</f>
        <v>64305965</v>
      </c>
      <c r="AA28" s="37">
        <f>'Shares Outstanding'!V6</f>
        <v>61691001</v>
      </c>
      <c r="AB28" s="38">
        <v>61415467</v>
      </c>
      <c r="AC28" s="38">
        <v>60080598</v>
      </c>
      <c r="AD28" s="38">
        <v>60336486</v>
      </c>
      <c r="AE28" s="100">
        <f>'Shares Outstanding'!Y6</f>
        <v>60876480</v>
      </c>
      <c r="AF28" s="37">
        <f>'Shares Outstanding'!Z6</f>
        <v>60741674</v>
      </c>
      <c r="AG28" s="38">
        <v>60663301</v>
      </c>
      <c r="AH28" s="38">
        <v>60873594</v>
      </c>
      <c r="AI28" s="38">
        <v>60590826</v>
      </c>
      <c r="AJ28" s="100">
        <f>'Shares Outstanding'!AC6</f>
        <v>60717446</v>
      </c>
      <c r="AK28" s="148">
        <v>60738299</v>
      </c>
      <c r="AL28" s="148">
        <v>60240344</v>
      </c>
      <c r="AM28" s="148">
        <v>60318114</v>
      </c>
      <c r="AN28" s="148">
        <v>58732771</v>
      </c>
      <c r="AO28" s="100">
        <f>'Shares Outstanding'!AG6</f>
        <v>60004706.519230776</v>
      </c>
      <c r="AP28" s="148">
        <v>56256082</v>
      </c>
      <c r="AQ28" s="148">
        <v>55924824</v>
      </c>
      <c r="AR28" s="148">
        <v>56297666</v>
      </c>
      <c r="AS28" s="148">
        <v>56107042</v>
      </c>
      <c r="AT28" s="100">
        <f>'Shares Outstanding'!AK6</f>
        <v>56170658</v>
      </c>
      <c r="AU28" s="148">
        <v>55149622</v>
      </c>
      <c r="AV28" s="254"/>
    </row>
    <row r="29" spans="1:48" ht="15" customHeight="1" x14ac:dyDescent="0.25">
      <c r="A29" s="2" t="s">
        <v>125</v>
      </c>
      <c r="B29" s="37">
        <f>'Shares Outstanding'!B8</f>
        <v>64741942</v>
      </c>
      <c r="C29" s="38">
        <v>65279611</v>
      </c>
      <c r="D29" s="38">
        <v>65254238</v>
      </c>
      <c r="E29" s="38">
        <v>65092423</v>
      </c>
      <c r="F29" s="48">
        <f>'Shares Outstanding'!E8</f>
        <v>65096486</v>
      </c>
      <c r="G29" s="37">
        <f>'Shares Outstanding'!F8</f>
        <v>64841134</v>
      </c>
      <c r="H29" s="38">
        <v>65625097</v>
      </c>
      <c r="I29" s="38">
        <v>65816422</v>
      </c>
      <c r="J29" s="38">
        <v>66145704</v>
      </c>
      <c r="K29" s="48">
        <f>'Shares Outstanding'!I8</f>
        <v>65633470</v>
      </c>
      <c r="L29" s="37">
        <f>'Shares Outstanding'!J8</f>
        <v>67283012</v>
      </c>
      <c r="M29" s="38">
        <v>68131274</v>
      </c>
      <c r="N29" s="38">
        <v>68200343</v>
      </c>
      <c r="O29" s="38">
        <v>67770156</v>
      </c>
      <c r="P29" s="100">
        <f>'Shares Outstanding'!M8</f>
        <v>67851971</v>
      </c>
      <c r="Q29" s="37">
        <f>'Shares Outstanding'!N8</f>
        <v>67469738</v>
      </c>
      <c r="R29" s="38">
        <v>67488311</v>
      </c>
      <c r="S29" s="38">
        <v>68625673</v>
      </c>
      <c r="T29" s="38">
        <v>67043794</v>
      </c>
      <c r="U29" s="100">
        <f>'Shares Outstanding'!Q8</f>
        <v>67662904</v>
      </c>
      <c r="V29" s="37">
        <f>'Shares Outstanding'!R8</f>
        <v>66041296</v>
      </c>
      <c r="W29" s="38">
        <v>65624505</v>
      </c>
      <c r="X29" s="38">
        <v>66067045</v>
      </c>
      <c r="Y29" s="38">
        <v>64655065</v>
      </c>
      <c r="Z29" s="100">
        <f>'Shares Outstanding'!U8</f>
        <v>65598588</v>
      </c>
      <c r="AA29" s="37">
        <f>'Shares Outstanding'!V8</f>
        <v>62125582</v>
      </c>
      <c r="AB29" s="38">
        <v>61790135</v>
      </c>
      <c r="AC29" s="38">
        <v>61027795</v>
      </c>
      <c r="AD29" s="38">
        <v>62348489</v>
      </c>
      <c r="AE29" s="100">
        <f>'Shares Outstanding'!Y8</f>
        <v>61818593</v>
      </c>
      <c r="AF29" s="37">
        <f>'Shares Outstanding'!Z8</f>
        <v>64077410</v>
      </c>
      <c r="AG29" s="38">
        <v>64665212</v>
      </c>
      <c r="AH29" s="38">
        <v>64197686</v>
      </c>
      <c r="AI29" s="38">
        <v>63985850</v>
      </c>
      <c r="AJ29" s="100">
        <f>'Shares Outstanding'!AC8</f>
        <v>64231637</v>
      </c>
      <c r="AK29" s="148">
        <v>63613550</v>
      </c>
      <c r="AL29" s="148">
        <f>AL28</f>
        <v>60240344</v>
      </c>
      <c r="AM29" s="148">
        <v>63235811</v>
      </c>
      <c r="AN29" s="148">
        <v>61898460</v>
      </c>
      <c r="AO29" s="100">
        <f>'Shares Outstanding'!AG8</f>
        <v>62760197.319102503</v>
      </c>
      <c r="AP29" s="148">
        <f>AP28</f>
        <v>56256082</v>
      </c>
      <c r="AQ29" s="148">
        <f>AQ28</f>
        <v>55924824</v>
      </c>
      <c r="AR29" s="148">
        <v>60172953</v>
      </c>
      <c r="AS29" s="148">
        <v>59687020</v>
      </c>
      <c r="AT29" s="100">
        <f>'Shares Outstanding'!AK8</f>
        <v>60231627</v>
      </c>
      <c r="AU29" s="148">
        <v>59332882</v>
      </c>
      <c r="AV29" s="254"/>
    </row>
    <row r="30" spans="1:48" ht="15" customHeight="1" x14ac:dyDescent="0.25">
      <c r="A30" s="3"/>
      <c r="B30" s="3"/>
      <c r="C30" s="3"/>
      <c r="D30" s="3"/>
      <c r="E30" s="3"/>
      <c r="F30" s="6"/>
      <c r="G30" s="3"/>
      <c r="H30" s="3"/>
      <c r="I30" s="3"/>
      <c r="J30" s="3"/>
      <c r="K30" s="6"/>
      <c r="L30" s="3"/>
      <c r="M30" s="3"/>
      <c r="N30" s="3"/>
      <c r="O30" s="3"/>
      <c r="P30" s="97"/>
      <c r="Q30" s="3"/>
      <c r="R30" s="3"/>
      <c r="S30" s="3"/>
      <c r="T30" s="3"/>
      <c r="U30" s="97"/>
      <c r="V30" s="3"/>
      <c r="W30" s="3"/>
      <c r="X30" s="3"/>
      <c r="Y30" s="3"/>
      <c r="Z30" s="97"/>
      <c r="AA30" s="3"/>
      <c r="AB30" s="3"/>
      <c r="AC30" s="3"/>
      <c r="AE30" s="97"/>
      <c r="AF30" s="3"/>
      <c r="AG30" s="3"/>
      <c r="AH30" s="3"/>
      <c r="AJ30" s="97"/>
      <c r="AK30" s="256"/>
      <c r="AL30" s="256"/>
      <c r="AM30" s="256"/>
      <c r="AN30" s="256"/>
      <c r="AO30" s="97"/>
      <c r="AP30" s="256"/>
      <c r="AQ30" s="256"/>
      <c r="AR30" s="256"/>
      <c r="AS30" s="256"/>
      <c r="AT30" s="97"/>
      <c r="AU30" s="256"/>
    </row>
    <row r="31" spans="1:48" x14ac:dyDescent="0.25">
      <c r="A31" s="2" t="s">
        <v>126</v>
      </c>
      <c r="B31" s="3"/>
      <c r="C31" s="3"/>
      <c r="D31" s="3"/>
      <c r="E31" s="3"/>
      <c r="F31" s="6"/>
      <c r="G31" s="3"/>
      <c r="H31" s="3"/>
      <c r="I31" s="3"/>
      <c r="J31" s="3"/>
      <c r="K31" s="6"/>
      <c r="L31" s="3"/>
      <c r="M31" s="3"/>
      <c r="N31" s="3"/>
      <c r="O31" s="3"/>
      <c r="P31" s="97"/>
      <c r="Q31" s="3"/>
      <c r="R31" s="3"/>
      <c r="S31" s="3"/>
      <c r="T31" s="3"/>
      <c r="U31" s="97"/>
      <c r="V31" s="3"/>
      <c r="W31" s="3"/>
      <c r="X31" s="3"/>
      <c r="Y31" s="3"/>
      <c r="Z31" s="97"/>
      <c r="AA31" s="3"/>
      <c r="AB31" s="3"/>
      <c r="AC31" s="3"/>
      <c r="AD31" s="3"/>
      <c r="AE31" s="97"/>
      <c r="AF31" s="3"/>
      <c r="AG31" s="3"/>
      <c r="AH31" s="3"/>
      <c r="AI31" s="3"/>
      <c r="AJ31" s="97"/>
      <c r="AK31" s="256"/>
      <c r="AL31" s="256"/>
      <c r="AM31" s="256"/>
      <c r="AN31" s="256"/>
      <c r="AO31" s="97"/>
      <c r="AP31" s="256"/>
      <c r="AQ31" s="256"/>
      <c r="AR31" s="256"/>
      <c r="AS31" s="256"/>
      <c r="AT31" s="97"/>
      <c r="AU31" s="256"/>
    </row>
    <row r="32" spans="1:48" ht="15" customHeight="1" thickBot="1" x14ac:dyDescent="0.3">
      <c r="A32" s="2" t="s">
        <v>124</v>
      </c>
      <c r="B32" s="45">
        <f>ROUND(B24*1000/B28,2)</f>
        <v>0.21</v>
      </c>
      <c r="C32" s="45">
        <f t="shared" ref="C32:Q32" si="52">ROUND(C24*1000/C28,2)</f>
        <v>0.06</v>
      </c>
      <c r="D32" s="45">
        <f t="shared" si="52"/>
        <v>0.08</v>
      </c>
      <c r="E32" s="45">
        <f t="shared" si="52"/>
        <v>0.61</v>
      </c>
      <c r="F32" s="57">
        <f t="shared" si="52"/>
        <v>0.96</v>
      </c>
      <c r="G32" s="45">
        <f t="shared" si="52"/>
        <v>0.27</v>
      </c>
      <c r="H32" s="45">
        <f t="shared" si="52"/>
        <v>0.19</v>
      </c>
      <c r="I32" s="45">
        <f t="shared" si="52"/>
        <v>0.21</v>
      </c>
      <c r="J32" s="45">
        <f t="shared" si="52"/>
        <v>0.62</v>
      </c>
      <c r="K32" s="57">
        <f t="shared" si="52"/>
        <v>1.3</v>
      </c>
      <c r="L32" s="45">
        <f t="shared" si="52"/>
        <v>0.19</v>
      </c>
      <c r="M32" s="45">
        <f t="shared" si="52"/>
        <v>0.09</v>
      </c>
      <c r="N32" s="45">
        <f t="shared" si="52"/>
        <v>0.3</v>
      </c>
      <c r="O32" s="45">
        <f t="shared" si="52"/>
        <v>0.8</v>
      </c>
      <c r="P32" s="109">
        <f t="shared" si="52"/>
        <v>1.4</v>
      </c>
      <c r="Q32" s="45">
        <f t="shared" si="52"/>
        <v>0.3</v>
      </c>
      <c r="R32" s="45">
        <f t="shared" ref="R32:V32" si="53">ROUND(R24*1000/R28,2)</f>
        <v>0.21</v>
      </c>
      <c r="S32" s="45">
        <f t="shared" si="53"/>
        <v>0.26</v>
      </c>
      <c r="T32" s="45">
        <f t="shared" si="53"/>
        <v>0.56999999999999995</v>
      </c>
      <c r="U32" s="109">
        <f t="shared" si="53"/>
        <v>1.33</v>
      </c>
      <c r="V32" s="45">
        <f t="shared" si="53"/>
        <v>0.3</v>
      </c>
      <c r="W32" s="45">
        <f t="shared" ref="W32:AA32" si="54">ROUND(W24*1000/W28,2)</f>
        <v>0.17</v>
      </c>
      <c r="X32" s="45">
        <f t="shared" si="54"/>
        <v>0.28999999999999998</v>
      </c>
      <c r="Y32" s="45">
        <f t="shared" si="54"/>
        <v>0.66</v>
      </c>
      <c r="Z32" s="109">
        <f t="shared" si="54"/>
        <v>1.41</v>
      </c>
      <c r="AA32" s="45">
        <f t="shared" si="54"/>
        <v>0.25</v>
      </c>
      <c r="AB32" s="45">
        <f t="shared" ref="AB32:AF32" si="55">ROUND(AB24*1000/AB28,2)</f>
        <v>0.09</v>
      </c>
      <c r="AC32" s="45">
        <f t="shared" si="55"/>
        <v>0.09</v>
      </c>
      <c r="AD32" s="45">
        <f>ROUND(AD24*1000/AD28,2)</f>
        <v>0.75</v>
      </c>
      <c r="AE32" s="109">
        <f t="shared" si="55"/>
        <v>1.18</v>
      </c>
      <c r="AF32" s="45">
        <f t="shared" si="55"/>
        <v>0.37</v>
      </c>
      <c r="AG32" s="45">
        <f t="shared" ref="AG32:AH32" si="56">ROUND(AG24*1000/AG28,2)</f>
        <v>0.24</v>
      </c>
      <c r="AH32" s="45">
        <f t="shared" si="56"/>
        <v>0.39</v>
      </c>
      <c r="AI32" s="45">
        <f>ROUND(AI24*1000/AI28,2)</f>
        <v>1.22</v>
      </c>
      <c r="AJ32" s="109">
        <f t="shared" ref="AJ32:AK32" si="57">ROUND(AJ24*1000/AJ28,2)</f>
        <v>2.21</v>
      </c>
      <c r="AK32" s="267">
        <f t="shared" si="57"/>
        <v>0.34</v>
      </c>
      <c r="AL32" s="267">
        <f t="shared" ref="AL32:AO32" si="58">ROUND(AL24*1000/AL28,2)</f>
        <v>-0.56000000000000005</v>
      </c>
      <c r="AM32" s="267">
        <f t="shared" si="58"/>
        <v>0.11</v>
      </c>
      <c r="AN32" s="267">
        <f t="shared" si="58"/>
        <v>0.26</v>
      </c>
      <c r="AO32" s="109">
        <f t="shared" si="58"/>
        <v>0.15</v>
      </c>
      <c r="AP32" s="267">
        <f>ROUND(AP24*1000/AP28,2)</f>
        <v>-0.21</v>
      </c>
      <c r="AQ32" s="267">
        <f>ROUND(AQ24*1000/AQ28,2)</f>
        <v>-0.05</v>
      </c>
      <c r="AR32" s="267">
        <f>ROUND(AR24*1000/AR28,2)</f>
        <v>0.12</v>
      </c>
      <c r="AS32" s="267">
        <f t="shared" ref="AS32:AT32" si="59">ROUND(AS24*1000/AS28,2)</f>
        <v>1.0900000000000001</v>
      </c>
      <c r="AT32" s="109">
        <f t="shared" si="59"/>
        <v>0.95</v>
      </c>
      <c r="AU32" s="267">
        <f>ROUND(AU24*1000/AU28,2)</f>
        <v>0.13</v>
      </c>
    </row>
    <row r="33" spans="1:47" ht="15" customHeight="1" thickTop="1" thickBot="1" x14ac:dyDescent="0.3">
      <c r="A33" s="2" t="s">
        <v>125</v>
      </c>
      <c r="B33" s="45">
        <f>ROUND(B24*1000/B29,2)</f>
        <v>0.2</v>
      </c>
      <c r="C33" s="45">
        <f t="shared" ref="C33:Q33" si="60">ROUND(C24*1000/C29,2)</f>
        <v>0.05</v>
      </c>
      <c r="D33" s="45">
        <f t="shared" si="60"/>
        <v>0.08</v>
      </c>
      <c r="E33" s="45">
        <f t="shared" si="60"/>
        <v>0.57999999999999996</v>
      </c>
      <c r="F33" s="57">
        <f t="shared" si="60"/>
        <v>0.91</v>
      </c>
      <c r="G33" s="45">
        <f t="shared" si="60"/>
        <v>0.26</v>
      </c>
      <c r="H33" s="45">
        <f t="shared" si="60"/>
        <v>0.19</v>
      </c>
      <c r="I33" s="45">
        <f t="shared" si="60"/>
        <v>0.21</v>
      </c>
      <c r="J33" s="45">
        <f t="shared" si="60"/>
        <v>0.6</v>
      </c>
      <c r="K33" s="57">
        <f t="shared" si="60"/>
        <v>1.25</v>
      </c>
      <c r="L33" s="45">
        <f t="shared" si="60"/>
        <v>0.18</v>
      </c>
      <c r="M33" s="45">
        <f t="shared" si="60"/>
        <v>0.09</v>
      </c>
      <c r="N33" s="45">
        <f t="shared" si="60"/>
        <v>0.28999999999999998</v>
      </c>
      <c r="O33" s="45">
        <f t="shared" si="60"/>
        <v>0.78</v>
      </c>
      <c r="P33" s="109">
        <f t="shared" si="60"/>
        <v>1.34</v>
      </c>
      <c r="Q33" s="45">
        <f t="shared" si="60"/>
        <v>0.28999999999999998</v>
      </c>
      <c r="R33" s="45">
        <f t="shared" ref="R33:V33" si="61">ROUND(R24*1000/R29,2)</f>
        <v>0.2</v>
      </c>
      <c r="S33" s="45">
        <f t="shared" si="61"/>
        <v>0.25</v>
      </c>
      <c r="T33" s="45">
        <f t="shared" si="61"/>
        <v>0.56999999999999995</v>
      </c>
      <c r="U33" s="109">
        <f t="shared" si="61"/>
        <v>1.31</v>
      </c>
      <c r="V33" s="45">
        <f t="shared" si="61"/>
        <v>0.28999999999999998</v>
      </c>
      <c r="W33" s="45">
        <f t="shared" ref="W33:AA33" si="62">ROUND(W24*1000/W29,2)</f>
        <v>0.16</v>
      </c>
      <c r="X33" s="45">
        <f t="shared" si="62"/>
        <v>0.28000000000000003</v>
      </c>
      <c r="Y33" s="45">
        <f t="shared" si="62"/>
        <v>0.65</v>
      </c>
      <c r="Z33" s="109">
        <f t="shared" si="62"/>
        <v>1.38</v>
      </c>
      <c r="AA33" s="45">
        <f t="shared" si="62"/>
        <v>0.25</v>
      </c>
      <c r="AB33" s="45">
        <f t="shared" ref="AB33:AF33" si="63">ROUND(AB24*1000/AB29,2)</f>
        <v>0.09</v>
      </c>
      <c r="AC33" s="45">
        <f t="shared" si="63"/>
        <v>0.09</v>
      </c>
      <c r="AD33" s="45">
        <f>ROUND(AD24*1000/AD29,2)</f>
        <v>0.73</v>
      </c>
      <c r="AE33" s="109">
        <f t="shared" si="63"/>
        <v>1.1599999999999999</v>
      </c>
      <c r="AF33" s="45">
        <f t="shared" si="63"/>
        <v>0.35</v>
      </c>
      <c r="AG33" s="45">
        <f t="shared" ref="AG33:AH33" si="64">ROUND(AG24*1000/AG29,2)</f>
        <v>0.23</v>
      </c>
      <c r="AH33" s="45">
        <f t="shared" si="64"/>
        <v>0.37</v>
      </c>
      <c r="AI33" s="45">
        <f>ROUND(AI24*1000/AI29,2)</f>
        <v>1.1499999999999999</v>
      </c>
      <c r="AJ33" s="109">
        <f t="shared" ref="AJ33" si="65">ROUND(AJ24*1000/AJ29,2)</f>
        <v>2.09</v>
      </c>
      <c r="AK33" s="267">
        <f>0.32</f>
        <v>0.32</v>
      </c>
      <c r="AL33" s="267">
        <f>ROUND(AL24*1000/AL29,2)</f>
        <v>-0.56000000000000005</v>
      </c>
      <c r="AM33" s="267">
        <f t="shared" ref="AM33" si="66">ROUND(AM24*1000/AM29,2)</f>
        <v>0.1</v>
      </c>
      <c r="AN33" s="267">
        <f>ROUND(AN24*1000/AN29,2)</f>
        <v>0.25</v>
      </c>
      <c r="AO33" s="109">
        <f t="shared" ref="AO33" si="67">ROUND(AO24*1000/AO29,2)</f>
        <v>0.14000000000000001</v>
      </c>
      <c r="AP33" s="267">
        <f>ROUND(AP24*1000/AP29,2)</f>
        <v>-0.21</v>
      </c>
      <c r="AQ33" s="267">
        <f>ROUND(AQ24*1000/AQ29,2)</f>
        <v>-0.05</v>
      </c>
      <c r="AR33" s="267">
        <f t="shared" ref="AR33" si="68">ROUND(AR24*1000/AR29,2)</f>
        <v>0.12</v>
      </c>
      <c r="AS33" s="267">
        <f>ROUND(AS24*1000/AS29,2)</f>
        <v>1.02</v>
      </c>
      <c r="AT33" s="109">
        <f t="shared" ref="AT33" si="69">ROUND(AT24*1000/AT29,2)</f>
        <v>0.88</v>
      </c>
      <c r="AU33" s="267">
        <f>ROUND(AU24*1000/AU29,2)</f>
        <v>0.12</v>
      </c>
    </row>
    <row r="34" spans="1:47" ht="15" customHeight="1" thickTop="1" x14ac:dyDescent="0.25">
      <c r="A34" s="3"/>
      <c r="B34" s="3"/>
      <c r="C34" s="3"/>
      <c r="D34" s="3"/>
      <c r="E34" s="3"/>
      <c r="F34" s="6"/>
      <c r="G34" s="3"/>
      <c r="H34" s="3"/>
      <c r="I34" s="3"/>
      <c r="J34" s="3"/>
      <c r="K34" s="6"/>
      <c r="L34" s="3"/>
      <c r="M34" s="3"/>
      <c r="N34" s="3"/>
      <c r="O34" s="3"/>
      <c r="P34" s="97"/>
      <c r="Q34" s="3"/>
      <c r="R34" s="3"/>
      <c r="S34" s="3"/>
      <c r="T34" s="3"/>
      <c r="U34" s="97"/>
      <c r="V34" s="3"/>
      <c r="W34" s="3"/>
      <c r="X34" s="3"/>
      <c r="Y34" s="3"/>
      <c r="Z34" s="97"/>
      <c r="AA34" s="3"/>
      <c r="AC34" s="3"/>
      <c r="AE34" s="97"/>
      <c r="AF34" s="3"/>
      <c r="AH34" s="3"/>
      <c r="AJ34" s="97"/>
      <c r="AK34" s="256"/>
      <c r="AM34" s="256"/>
      <c r="AN34" s="256"/>
      <c r="AO34" s="97"/>
      <c r="AP34" s="256"/>
      <c r="AR34" s="256"/>
      <c r="AS34" s="256"/>
      <c r="AT34" s="97"/>
      <c r="AU34" s="256"/>
    </row>
    <row r="35" spans="1:47" ht="1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C35" s="3"/>
      <c r="AD35" s="3"/>
      <c r="AE35" s="3"/>
      <c r="AF35" s="3"/>
      <c r="AH35" s="3"/>
      <c r="AI35" s="3"/>
      <c r="AJ35" s="3"/>
      <c r="AK35" s="256"/>
      <c r="AM35" s="256"/>
      <c r="AN35" s="256"/>
      <c r="AO35" s="3"/>
      <c r="AP35" s="256"/>
      <c r="AR35" s="256"/>
      <c r="AS35" s="256"/>
      <c r="AT35" s="3"/>
      <c r="AU35" s="256"/>
    </row>
    <row r="36" spans="1:47" ht="1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C36" s="3"/>
      <c r="AD36" s="3"/>
      <c r="AE36" s="3"/>
      <c r="AF36" s="3"/>
      <c r="AH36" s="3"/>
      <c r="AI36" s="3"/>
      <c r="AJ36" s="3"/>
      <c r="AK36" s="256"/>
      <c r="AM36" s="256"/>
      <c r="AN36" s="256"/>
      <c r="AO36" s="3"/>
      <c r="AP36" s="256"/>
      <c r="AR36" s="256"/>
      <c r="AS36" s="256"/>
      <c r="AT36" s="3"/>
      <c r="AU36" s="256"/>
    </row>
    <row r="37" spans="1:47"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C37" s="3"/>
      <c r="AD37" s="3"/>
      <c r="AE37" s="3"/>
      <c r="AF37" s="3"/>
      <c r="AH37" s="3"/>
      <c r="AI37" s="3"/>
      <c r="AJ37" s="3"/>
      <c r="AK37" s="256"/>
      <c r="AM37" s="256"/>
      <c r="AN37" s="256"/>
      <c r="AO37" s="3"/>
      <c r="AP37" s="256"/>
      <c r="AR37" s="256"/>
      <c r="AS37" s="256"/>
      <c r="AT37" s="3"/>
      <c r="AU37" s="256"/>
    </row>
    <row r="38" spans="1:47"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C38" s="3"/>
      <c r="AD38" s="3"/>
      <c r="AE38" s="3"/>
      <c r="AF38" s="3"/>
      <c r="AH38" s="3"/>
      <c r="AI38" s="3"/>
      <c r="AJ38" s="3"/>
      <c r="AK38" s="256"/>
      <c r="AM38" s="256"/>
      <c r="AN38" s="256"/>
      <c r="AO38" s="3"/>
      <c r="AP38" s="256"/>
      <c r="AR38" s="256"/>
      <c r="AS38" s="256"/>
      <c r="AT38" s="3"/>
      <c r="AU38" s="256"/>
    </row>
    <row r="39" spans="1:47" ht="15" customHeight="1" x14ac:dyDescent="0.25">
      <c r="AD39" s="3"/>
      <c r="AI39" s="3"/>
    </row>
    <row r="40" spans="1:47" ht="15" customHeight="1" x14ac:dyDescent="0.25"/>
    <row r="41" spans="1:47" ht="15" customHeight="1" x14ac:dyDescent="0.25"/>
    <row r="42" spans="1:47" ht="15" customHeight="1" x14ac:dyDescent="0.25"/>
    <row r="43" spans="1:47" ht="15" customHeight="1" x14ac:dyDescent="0.25"/>
    <row r="44" spans="1:47" ht="15" customHeight="1" x14ac:dyDescent="0.25"/>
    <row r="45" spans="1:47" ht="15" customHeight="1" x14ac:dyDescent="0.25"/>
    <row r="46" spans="1:47" ht="15" customHeight="1" x14ac:dyDescent="0.25"/>
    <row r="47" spans="1:47" ht="15" customHeight="1" x14ac:dyDescent="0.25"/>
    <row r="48" spans="1:4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A111"/>
  <sheetViews>
    <sheetView showGridLines="0" topLeftCell="A37" zoomScale="90" zoomScaleNormal="90" workbookViewId="0">
      <pane xSplit="11" topLeftCell="AK1" activePane="topRight" state="frozen"/>
      <selection pane="topRight" activeCell="AV1" sqref="AV1:AV1048576"/>
    </sheetView>
  </sheetViews>
  <sheetFormatPr defaultColWidth="12.6640625" defaultRowHeight="13.2" outlineLevelRow="1" outlineLevelCol="1" x14ac:dyDescent="0.25"/>
  <cols>
    <col min="1" max="1" width="76.109375" style="5" customWidth="1"/>
    <col min="2" max="11" width="12.6640625" style="2" hidden="1" customWidth="1" outlineLevel="1"/>
    <col min="12" max="12" width="12.6640625" style="2" hidden="1" customWidth="1" outlineLevel="1" collapsed="1"/>
    <col min="13" max="15" width="12.6640625" style="2" hidden="1" customWidth="1" outlineLevel="1"/>
    <col min="16" max="16" width="12.6640625" style="2" hidden="1" customWidth="1" outlineLevel="1" collapsed="1"/>
    <col min="17" max="18" width="12.6640625" style="2" hidden="1" customWidth="1" outlineLevel="1"/>
    <col min="19" max="19" width="12.6640625" style="2" hidden="1" customWidth="1" outlineLevel="1" collapsed="1"/>
    <col min="20" max="36" width="12.6640625" style="2" hidden="1" customWidth="1" outlineLevel="1"/>
    <col min="37" max="37" width="12.6640625" style="2" collapsed="1"/>
    <col min="38" max="38" width="12.6640625" style="2"/>
    <col min="39" max="40" width="12.6640625" style="151"/>
    <col min="41" max="41" width="12.6640625" style="2"/>
    <col min="42" max="45" width="12.6640625" style="151"/>
    <col min="46" max="46" width="12.6640625" style="2"/>
    <col min="47" max="49" width="12.6640625" style="151"/>
    <col min="50" max="16384" width="12.6640625" style="2"/>
  </cols>
  <sheetData>
    <row r="1" spans="1:53" x14ac:dyDescent="0.25">
      <c r="A1" s="10" t="s">
        <v>127</v>
      </c>
      <c r="S1" s="89"/>
      <c r="X1" s="89"/>
      <c r="AC1" s="89"/>
      <c r="AH1" s="89"/>
      <c r="AM1" s="268"/>
      <c r="AN1" s="268"/>
      <c r="AR1" s="268"/>
      <c r="AS1" s="268"/>
    </row>
    <row r="2" spans="1:53" x14ac:dyDescent="0.25">
      <c r="A2" s="5" t="s">
        <v>1</v>
      </c>
      <c r="R2" s="89"/>
    </row>
    <row r="3" spans="1:53" ht="21" customHeight="1" x14ac:dyDescent="0.25">
      <c r="B3" s="14" t="s">
        <v>60</v>
      </c>
      <c r="C3" s="14" t="s">
        <v>61</v>
      </c>
      <c r="D3" s="14" t="s">
        <v>62</v>
      </c>
      <c r="E3" s="14" t="s">
        <v>63</v>
      </c>
      <c r="F3" s="15" t="s">
        <v>64</v>
      </c>
      <c r="G3" s="14" t="s">
        <v>65</v>
      </c>
      <c r="H3" s="14" t="s">
        <v>66</v>
      </c>
      <c r="I3" s="14" t="s">
        <v>67</v>
      </c>
      <c r="J3" s="14" t="s">
        <v>68</v>
      </c>
      <c r="K3" s="15" t="s">
        <v>69</v>
      </c>
      <c r="L3" s="14" t="s">
        <v>70</v>
      </c>
      <c r="M3" s="14" t="s">
        <v>71</v>
      </c>
      <c r="N3" s="14" t="s">
        <v>72</v>
      </c>
      <c r="O3" s="14" t="s">
        <v>73</v>
      </c>
      <c r="P3" s="110" t="s">
        <v>74</v>
      </c>
      <c r="Q3" s="14" t="s">
        <v>75</v>
      </c>
      <c r="R3" s="14" t="s">
        <v>76</v>
      </c>
      <c r="S3" s="14" t="s">
        <v>77</v>
      </c>
      <c r="T3" s="14" t="s">
        <v>78</v>
      </c>
      <c r="U3" s="110" t="s">
        <v>79</v>
      </c>
      <c r="V3" s="14" t="s">
        <v>80</v>
      </c>
      <c r="W3" s="14" t="s">
        <v>81</v>
      </c>
      <c r="X3" s="14" t="s">
        <v>82</v>
      </c>
      <c r="Y3" s="14" t="s">
        <v>83</v>
      </c>
      <c r="Z3" s="110" t="s">
        <v>84</v>
      </c>
      <c r="AA3" s="14" t="s">
        <v>85</v>
      </c>
      <c r="AB3" s="14" t="s">
        <v>86</v>
      </c>
      <c r="AC3" s="14" t="s">
        <v>87</v>
      </c>
      <c r="AD3" s="14" t="s">
        <v>88</v>
      </c>
      <c r="AE3" s="110" t="s">
        <v>89</v>
      </c>
      <c r="AF3" s="14" t="s">
        <v>90</v>
      </c>
      <c r="AG3" s="14" t="s">
        <v>91</v>
      </c>
      <c r="AH3" s="14" t="s">
        <v>92</v>
      </c>
      <c r="AI3" s="14" t="s">
        <v>93</v>
      </c>
      <c r="AJ3" s="110" t="s">
        <v>94</v>
      </c>
      <c r="AK3" s="14" t="s">
        <v>95</v>
      </c>
      <c r="AL3" s="14" t="s">
        <v>96</v>
      </c>
      <c r="AM3" s="269" t="s">
        <v>97</v>
      </c>
      <c r="AN3" s="269" t="s">
        <v>98</v>
      </c>
      <c r="AO3" s="110" t="s">
        <v>99</v>
      </c>
      <c r="AP3" s="269" t="s">
        <v>100</v>
      </c>
      <c r="AQ3" s="269" t="s">
        <v>101</v>
      </c>
      <c r="AR3" s="269" t="s">
        <v>102</v>
      </c>
      <c r="AS3" s="269" t="s">
        <v>103</v>
      </c>
      <c r="AT3" s="110" t="s">
        <v>104</v>
      </c>
      <c r="AU3" s="269" t="s">
        <v>105</v>
      </c>
    </row>
    <row r="4" spans="1:53" ht="15" customHeight="1" x14ac:dyDescent="0.25">
      <c r="A4" s="10" t="s">
        <v>128</v>
      </c>
      <c r="B4" s="58">
        <f>'P&amp;L'!B22</f>
        <v>13617</v>
      </c>
      <c r="C4" s="58">
        <f>'P&amp;L'!C22</f>
        <v>3929</v>
      </c>
      <c r="D4" s="58">
        <f>'P&amp;L'!D22</f>
        <v>5793</v>
      </c>
      <c r="E4" s="58">
        <f>'P&amp;L'!E22</f>
        <v>38938</v>
      </c>
      <c r="F4" s="8">
        <f>'P&amp;L'!F22</f>
        <v>62276</v>
      </c>
      <c r="G4" s="58">
        <f>'P&amp;L'!G22</f>
        <v>18527</v>
      </c>
      <c r="H4" s="58">
        <f>'P&amp;L'!H22</f>
        <v>13339</v>
      </c>
      <c r="I4" s="58">
        <f>'P&amp;L'!I22</f>
        <v>14724</v>
      </c>
      <c r="J4" s="58">
        <f>'P&amp;L'!J22</f>
        <v>40740</v>
      </c>
      <c r="K4" s="8">
        <f>'P&amp;L'!K22</f>
        <v>87329</v>
      </c>
      <c r="L4" s="58">
        <f>'P&amp;L'!L22</f>
        <v>14518</v>
      </c>
      <c r="M4" s="58">
        <f>'P&amp;L'!M22</f>
        <v>7505</v>
      </c>
      <c r="N4" s="58">
        <f>'P&amp;L'!N22</f>
        <v>22269</v>
      </c>
      <c r="O4" s="58">
        <f>'P&amp;L'!O22</f>
        <v>52368</v>
      </c>
      <c r="P4" s="111">
        <f>'P&amp;L'!P22</f>
        <v>96659</v>
      </c>
      <c r="Q4" s="58">
        <f>'P&amp;L'!Q22</f>
        <v>21090</v>
      </c>
      <c r="R4" s="58">
        <f>'P&amp;L'!R22</f>
        <v>14707</v>
      </c>
      <c r="S4" s="58">
        <f>'P&amp;L'!S22</f>
        <v>17948</v>
      </c>
      <c r="T4" s="58">
        <f>'P&amp;L'!T22</f>
        <v>42134</v>
      </c>
      <c r="U4" s="111">
        <f>'P&amp;L'!U22</f>
        <v>95879</v>
      </c>
      <c r="V4" s="58">
        <f>'P&amp;L'!V22</f>
        <v>21401</v>
      </c>
      <c r="W4" s="58">
        <f>'P&amp;L'!W22</f>
        <v>12537</v>
      </c>
      <c r="X4" s="58">
        <f>'P&amp;L'!X22</f>
        <v>20557</v>
      </c>
      <c r="Y4" s="58">
        <f>'P&amp;L'!Y22</f>
        <v>41474</v>
      </c>
      <c r="Z4" s="111">
        <f>'P&amp;L'!Z22</f>
        <v>95969</v>
      </c>
      <c r="AA4" s="58">
        <f>'P&amp;L'!AA22</f>
        <v>16428</v>
      </c>
      <c r="AB4" s="58">
        <f>'P&amp;L'!AB22</f>
        <v>6150</v>
      </c>
      <c r="AC4" s="58">
        <f>'P&amp;L'!AC22</f>
        <v>5293</v>
      </c>
      <c r="AD4" s="58">
        <f>'P&amp;L'!AD22</f>
        <v>46818</v>
      </c>
      <c r="AE4" s="111">
        <f>'P&amp;L'!AE22</f>
        <v>74689</v>
      </c>
      <c r="AF4" s="58">
        <f>'P&amp;L'!AF22</f>
        <v>23450</v>
      </c>
      <c r="AG4" s="58">
        <f>'P&amp;L'!AG22</f>
        <v>15029</v>
      </c>
      <c r="AH4" s="58">
        <f>'P&amp;L'!AH22</f>
        <v>24230</v>
      </c>
      <c r="AI4" s="58">
        <f>'P&amp;L'!AI22</f>
        <v>74938</v>
      </c>
      <c r="AJ4" s="111">
        <f>'P&amp;L'!AJ22</f>
        <v>137647</v>
      </c>
      <c r="AK4" s="58">
        <f>'P&amp;L'!AK22</f>
        <v>21278</v>
      </c>
      <c r="AL4" s="58">
        <f>'P&amp;L'!AL22</f>
        <v>-32973</v>
      </c>
      <c r="AM4" s="270">
        <f>'P&amp;L'!AM22</f>
        <v>6521</v>
      </c>
      <c r="AN4" s="270">
        <f>'P&amp;L'!AN22</f>
        <v>16049</v>
      </c>
      <c r="AO4" s="111">
        <f>'P&amp;L'!AO22</f>
        <v>10875</v>
      </c>
      <c r="AP4" s="270">
        <f>'P&amp;L'!AP22</f>
        <v>-12071</v>
      </c>
      <c r="AQ4" s="270">
        <f>'P&amp;L'!AQ22</f>
        <v>-1971</v>
      </c>
      <c r="AR4" s="270">
        <f>'P&amp;L'!AR22</f>
        <v>6635</v>
      </c>
      <c r="AS4" s="270">
        <f>'P&amp;L'!AS22</f>
        <v>62051</v>
      </c>
      <c r="AT4" s="111">
        <f>'P&amp;L'!AT22</f>
        <v>54644</v>
      </c>
      <c r="AU4" s="270">
        <f>'P&amp;L'!AU22</f>
        <v>8566</v>
      </c>
    </row>
    <row r="5" spans="1:53" ht="15" customHeight="1" x14ac:dyDescent="0.25">
      <c r="A5" s="5" t="s">
        <v>129</v>
      </c>
      <c r="B5" s="41">
        <f t="shared" ref="B5:Q5" si="0">SUM(B6:B13,B16,B17)</f>
        <v>18485</v>
      </c>
      <c r="C5" s="41">
        <f t="shared" si="0"/>
        <v>12134</v>
      </c>
      <c r="D5" s="41">
        <f t="shared" si="0"/>
        <v>18827</v>
      </c>
      <c r="E5" s="41">
        <f t="shared" si="0"/>
        <v>10196</v>
      </c>
      <c r="F5" s="53">
        <f t="shared" si="0"/>
        <v>59643</v>
      </c>
      <c r="G5" s="41">
        <f t="shared" si="0"/>
        <v>17520.430706248</v>
      </c>
      <c r="H5" s="41">
        <f t="shared" si="0"/>
        <v>16232</v>
      </c>
      <c r="I5" s="41">
        <f t="shared" si="0"/>
        <v>24331</v>
      </c>
      <c r="J5" s="41">
        <f t="shared" si="0"/>
        <v>37518</v>
      </c>
      <c r="K5" s="53">
        <f t="shared" si="0"/>
        <v>95600</v>
      </c>
      <c r="L5" s="41">
        <f t="shared" si="0"/>
        <v>29790</v>
      </c>
      <c r="M5" s="41">
        <f t="shared" si="0"/>
        <v>27126</v>
      </c>
      <c r="N5" s="41">
        <f t="shared" si="0"/>
        <v>51830</v>
      </c>
      <c r="O5" s="41">
        <f t="shared" si="0"/>
        <v>47147</v>
      </c>
      <c r="P5" s="105">
        <f t="shared" si="0"/>
        <v>155894</v>
      </c>
      <c r="Q5" s="41">
        <f t="shared" si="0"/>
        <v>39750</v>
      </c>
      <c r="R5" s="41">
        <f>SUM(R6:R13,R16,R17)</f>
        <v>35677</v>
      </c>
      <c r="S5" s="41">
        <f t="shared" ref="S5:W5" si="1">SUM(S6:S13,S16,S17)</f>
        <v>28379</v>
      </c>
      <c r="T5" s="41">
        <f t="shared" si="1"/>
        <v>50628</v>
      </c>
      <c r="U5" s="105">
        <f t="shared" si="1"/>
        <v>154436</v>
      </c>
      <c r="V5" s="41">
        <f t="shared" si="1"/>
        <v>24998</v>
      </c>
      <c r="W5" s="41">
        <f t="shared" si="1"/>
        <v>28961</v>
      </c>
      <c r="X5" s="41">
        <f t="shared" ref="X5:AB5" si="2">SUM(X6:X13,X16,X17)</f>
        <v>18776</v>
      </c>
      <c r="Y5" s="41">
        <f t="shared" si="2"/>
        <v>53546</v>
      </c>
      <c r="Z5" s="105">
        <f t="shared" si="2"/>
        <v>126281</v>
      </c>
      <c r="AA5" s="41">
        <f t="shared" si="2"/>
        <v>32828</v>
      </c>
      <c r="AB5" s="41">
        <f t="shared" si="2"/>
        <v>33083</v>
      </c>
      <c r="AC5" s="41">
        <f t="shared" ref="AC5:AG5" si="3">SUM(AC6:AC13,AC16,AC17)</f>
        <v>39831</v>
      </c>
      <c r="AD5" s="41">
        <f>SUM(AD6:AD13,AD16,AD17)</f>
        <v>48887</v>
      </c>
      <c r="AE5" s="105">
        <f t="shared" si="3"/>
        <v>154629</v>
      </c>
      <c r="AF5" s="41">
        <f t="shared" si="3"/>
        <v>30017</v>
      </c>
      <c r="AG5" s="41">
        <f t="shared" si="3"/>
        <v>35888</v>
      </c>
      <c r="AH5" s="41">
        <f>SUM(AH6:AH13,AH16,AH17)</f>
        <v>37668</v>
      </c>
      <c r="AI5" s="41">
        <f>SUM(AI6:AI13,AI16,AI17)</f>
        <v>21306</v>
      </c>
      <c r="AJ5" s="105">
        <f>SUM(AJ6:AJ13,AJ16,AJ17)</f>
        <v>124879</v>
      </c>
      <c r="AK5" s="41">
        <f t="shared" ref="AK5" si="4">SUM(AK6:AK13,AK16,AK17)</f>
        <v>34726</v>
      </c>
      <c r="AL5" s="41">
        <f>SUM(AL6:AL13,AL16,AL17)</f>
        <v>63501</v>
      </c>
      <c r="AM5" s="263">
        <f>SUM(AM6:AM13,AM16,AM17)</f>
        <v>23816</v>
      </c>
      <c r="AN5" s="263">
        <f>SUM(AN6:AN13,AN16,AN17)</f>
        <v>62986</v>
      </c>
      <c r="AO5" s="105">
        <f>SUM(AO6:AO13,AO16,AO17)</f>
        <v>185029</v>
      </c>
      <c r="AP5" s="263">
        <f t="shared" ref="AP5" si="5">SUM(AP6:AP13,AP16,AP17)</f>
        <v>31947</v>
      </c>
      <c r="AQ5" s="263">
        <f>SUM(AQ6:AQ13,AQ16,AQ17)</f>
        <v>16939.000000000004</v>
      </c>
      <c r="AR5" s="263">
        <f>SUM(AR6:AR13,AR16,AR17)</f>
        <v>-6180</v>
      </c>
      <c r="AS5" s="263">
        <f>SUM(AS6:AS13,AS16,AS17)</f>
        <v>60662.76</v>
      </c>
      <c r="AT5" s="105">
        <f>SUM(AT6:AT13,AT16,AT17)</f>
        <v>103369</v>
      </c>
      <c r="AU5" s="263">
        <f t="shared" ref="AU5" si="6">SUM(AU6:AU13,AU16,AU17)</f>
        <v>60161</v>
      </c>
    </row>
    <row r="6" spans="1:53" ht="15" customHeight="1" x14ac:dyDescent="0.25">
      <c r="A6" s="5" t="s">
        <v>130</v>
      </c>
      <c r="B6" s="59">
        <v>8262</v>
      </c>
      <c r="C6" s="59">
        <v>10938</v>
      </c>
      <c r="D6" s="59">
        <v>13236</v>
      </c>
      <c r="E6" s="59">
        <v>14648</v>
      </c>
      <c r="F6" s="62">
        <v>47085</v>
      </c>
      <c r="G6" s="59">
        <v>13180</v>
      </c>
      <c r="H6" s="59">
        <f>16346-1</f>
        <v>16345</v>
      </c>
      <c r="I6" s="59">
        <v>16030</v>
      </c>
      <c r="J6" s="59">
        <v>17178</v>
      </c>
      <c r="K6" s="62">
        <v>62733</v>
      </c>
      <c r="L6" s="59">
        <v>22316</v>
      </c>
      <c r="M6" s="59">
        <v>24376</v>
      </c>
      <c r="N6" s="59">
        <v>25990</v>
      </c>
      <c r="O6" s="59">
        <v>31344</v>
      </c>
      <c r="P6" s="112">
        <v>104025</v>
      </c>
      <c r="Q6" s="59">
        <v>26050</v>
      </c>
      <c r="R6" s="59">
        <v>25099</v>
      </c>
      <c r="S6" s="59">
        <v>27891</v>
      </c>
      <c r="T6" s="59">
        <v>32785</v>
      </c>
      <c r="U6" s="112">
        <v>111825</v>
      </c>
      <c r="V6" s="59">
        <v>19644</v>
      </c>
      <c r="W6" s="59">
        <v>18282</v>
      </c>
      <c r="X6" s="59">
        <v>19455</v>
      </c>
      <c r="Y6" s="59">
        <v>39729</v>
      </c>
      <c r="Z6" s="112">
        <v>97110</v>
      </c>
      <c r="AA6" s="59">
        <v>27044</v>
      </c>
      <c r="AB6" s="59">
        <v>27907</v>
      </c>
      <c r="AC6" s="59">
        <v>24680</v>
      </c>
      <c r="AD6" s="59">
        <v>26960</v>
      </c>
      <c r="AE6" s="112">
        <v>106591</v>
      </c>
      <c r="AF6" s="59">
        <v>17225</v>
      </c>
      <c r="AG6" s="59">
        <v>25161</v>
      </c>
      <c r="AH6" s="59">
        <v>25533</v>
      </c>
      <c r="AI6" s="59">
        <v>23015</v>
      </c>
      <c r="AJ6" s="112">
        <v>90934</v>
      </c>
      <c r="AK6" s="59">
        <v>26611</v>
      </c>
      <c r="AL6" s="59">
        <v>87891</v>
      </c>
      <c r="AM6" s="271">
        <v>20148</v>
      </c>
      <c r="AN6" s="271">
        <v>15611</v>
      </c>
      <c r="AO6" s="112">
        <v>150261</v>
      </c>
      <c r="AP6" s="271">
        <v>27311</v>
      </c>
      <c r="AQ6" s="271">
        <v>10111</v>
      </c>
      <c r="AR6" s="271">
        <v>18866</v>
      </c>
      <c r="AS6" s="271">
        <v>16048</v>
      </c>
      <c r="AT6" s="112">
        <v>72336</v>
      </c>
      <c r="AU6" s="271">
        <v>25235</v>
      </c>
    </row>
    <row r="7" spans="1:53" ht="15" customHeight="1" x14ac:dyDescent="0.25">
      <c r="A7" s="88" t="s">
        <v>131</v>
      </c>
      <c r="B7" s="38"/>
      <c r="C7" s="38"/>
      <c r="D7" s="38"/>
      <c r="E7" s="38"/>
      <c r="F7" s="49"/>
      <c r="G7" s="38"/>
      <c r="H7" s="38"/>
      <c r="I7" s="38"/>
      <c r="J7" s="38"/>
      <c r="K7" s="49"/>
      <c r="L7" s="38"/>
      <c r="M7" s="38"/>
      <c r="N7" s="38"/>
      <c r="O7" s="38"/>
      <c r="P7" s="101"/>
      <c r="Q7" s="38"/>
      <c r="R7" s="38"/>
      <c r="S7" s="38"/>
      <c r="T7" s="38"/>
      <c r="U7" s="101"/>
      <c r="V7" s="38"/>
      <c r="W7" s="38"/>
      <c r="X7" s="38">
        <v>0</v>
      </c>
      <c r="Y7" s="38">
        <v>0</v>
      </c>
      <c r="Z7" s="101"/>
      <c r="AA7" s="38">
        <v>0</v>
      </c>
      <c r="AB7" s="38">
        <v>0</v>
      </c>
      <c r="AC7" s="38">
        <v>0</v>
      </c>
      <c r="AD7" s="38">
        <v>0</v>
      </c>
      <c r="AE7" s="101"/>
      <c r="AF7" s="38">
        <v>0</v>
      </c>
      <c r="AG7" s="38">
        <v>0</v>
      </c>
      <c r="AH7" s="38">
        <v>0</v>
      </c>
      <c r="AI7" s="38">
        <v>0</v>
      </c>
      <c r="AJ7" s="101"/>
      <c r="AK7" s="38">
        <v>0</v>
      </c>
      <c r="AL7" s="38">
        <v>0</v>
      </c>
      <c r="AM7" s="38">
        <v>0</v>
      </c>
      <c r="AN7" s="38">
        <v>0</v>
      </c>
      <c r="AO7" s="101">
        <v>0</v>
      </c>
      <c r="AP7" s="38">
        <v>0</v>
      </c>
      <c r="AQ7" s="38">
        <v>0</v>
      </c>
      <c r="AR7" s="148">
        <v>-43334</v>
      </c>
      <c r="AS7" s="148" t="s">
        <v>132</v>
      </c>
      <c r="AT7" s="101">
        <v>-43334</v>
      </c>
      <c r="AU7" s="38">
        <v>0</v>
      </c>
    </row>
    <row r="8" spans="1:53" ht="15" customHeight="1" x14ac:dyDescent="0.25">
      <c r="A8" s="11" t="s">
        <v>133</v>
      </c>
      <c r="B8" s="38">
        <v>6318</v>
      </c>
      <c r="C8" s="38">
        <v>5325</v>
      </c>
      <c r="D8" s="38">
        <v>4600</v>
      </c>
      <c r="E8" s="38">
        <v>7748</v>
      </c>
      <c r="F8" s="49">
        <v>23989</v>
      </c>
      <c r="G8" s="38">
        <f>8369.430706248+1</f>
        <v>8370.4307062480002</v>
      </c>
      <c r="H8" s="38">
        <v>7695</v>
      </c>
      <c r="I8" s="38">
        <v>13965</v>
      </c>
      <c r="J8" s="38">
        <v>13229</v>
      </c>
      <c r="K8" s="49">
        <v>43259</v>
      </c>
      <c r="L8" s="38">
        <v>14940</v>
      </c>
      <c r="M8" s="38">
        <v>14918</v>
      </c>
      <c r="N8" s="38">
        <v>22028</v>
      </c>
      <c r="O8" s="38">
        <v>19725</v>
      </c>
      <c r="P8" s="101">
        <v>71612</v>
      </c>
      <c r="Q8" s="38">
        <v>18829</v>
      </c>
      <c r="R8" s="38">
        <v>20242</v>
      </c>
      <c r="S8" s="38">
        <v>17262</v>
      </c>
      <c r="T8" s="38">
        <v>10267</v>
      </c>
      <c r="U8" s="101">
        <v>66600</v>
      </c>
      <c r="V8" s="38">
        <v>13882</v>
      </c>
      <c r="W8" s="38">
        <v>11713</v>
      </c>
      <c r="X8" s="38">
        <v>11165</v>
      </c>
      <c r="Y8" s="38">
        <v>4239</v>
      </c>
      <c r="Z8" s="101">
        <v>40999</v>
      </c>
      <c r="AA8" s="38">
        <v>8502</v>
      </c>
      <c r="AB8" s="38">
        <v>7160</v>
      </c>
      <c r="AC8" s="38">
        <v>6803</v>
      </c>
      <c r="AD8" s="38">
        <v>6305</v>
      </c>
      <c r="AE8" s="101">
        <v>28770</v>
      </c>
      <c r="AF8" s="38">
        <v>7215</v>
      </c>
      <c r="AG8" s="38">
        <v>11670</v>
      </c>
      <c r="AH8" s="38">
        <v>13289</v>
      </c>
      <c r="AI8" s="38">
        <v>12354</v>
      </c>
      <c r="AJ8" s="101">
        <v>44528</v>
      </c>
      <c r="AK8" s="38">
        <v>9489</v>
      </c>
      <c r="AL8" s="38">
        <v>12021</v>
      </c>
      <c r="AM8" s="148">
        <v>21084</v>
      </c>
      <c r="AN8" s="148">
        <v>22440</v>
      </c>
      <c r="AO8" s="101">
        <v>65034</v>
      </c>
      <c r="AP8" s="148">
        <v>25168</v>
      </c>
      <c r="AQ8" s="148">
        <v>27173</v>
      </c>
      <c r="AR8" s="148">
        <v>24012</v>
      </c>
      <c r="AS8" s="148">
        <v>20832</v>
      </c>
      <c r="AT8" s="101">
        <v>97185</v>
      </c>
      <c r="AU8" s="148">
        <v>27292</v>
      </c>
    </row>
    <row r="9" spans="1:53" ht="15" customHeight="1" x14ac:dyDescent="0.25">
      <c r="A9" s="11" t="s">
        <v>134</v>
      </c>
      <c r="B9" s="38">
        <v>3</v>
      </c>
      <c r="C9" s="38">
        <v>22</v>
      </c>
      <c r="D9" s="38">
        <v>59</v>
      </c>
      <c r="E9" s="38">
        <v>-2212</v>
      </c>
      <c r="F9" s="49">
        <v>-2127</v>
      </c>
      <c r="G9" s="38">
        <v>0</v>
      </c>
      <c r="H9" s="38">
        <v>0</v>
      </c>
      <c r="I9" s="38">
        <v>0</v>
      </c>
      <c r="J9" s="38">
        <v>-82</v>
      </c>
      <c r="K9" s="49">
        <v>-81</v>
      </c>
      <c r="L9" s="38">
        <v>0</v>
      </c>
      <c r="M9" s="38">
        <v>0</v>
      </c>
      <c r="N9" s="38">
        <v>0</v>
      </c>
      <c r="O9" s="38">
        <v>0</v>
      </c>
      <c r="P9" s="101">
        <v>0</v>
      </c>
      <c r="Q9" s="38">
        <v>0</v>
      </c>
      <c r="R9" s="38">
        <v>0</v>
      </c>
      <c r="S9" s="38">
        <v>0</v>
      </c>
      <c r="T9" s="38">
        <v>0</v>
      </c>
      <c r="U9" s="101">
        <v>0</v>
      </c>
      <c r="V9" s="38">
        <v>0</v>
      </c>
      <c r="W9" s="38">
        <v>0</v>
      </c>
      <c r="X9" s="38">
        <v>0</v>
      </c>
      <c r="Y9" s="38">
        <v>0</v>
      </c>
      <c r="Z9" s="101">
        <v>0</v>
      </c>
      <c r="AA9" s="38">
        <v>2266</v>
      </c>
      <c r="AB9" s="38">
        <v>-123</v>
      </c>
      <c r="AC9" s="38">
        <v>591</v>
      </c>
      <c r="AD9" s="38">
        <v>-20</v>
      </c>
      <c r="AE9" s="101">
        <v>2714</v>
      </c>
      <c r="AF9" s="38">
        <v>3945</v>
      </c>
      <c r="AG9" s="38">
        <v>14</v>
      </c>
      <c r="AH9" s="38">
        <v>735</v>
      </c>
      <c r="AI9" s="38">
        <v>-2729</v>
      </c>
      <c r="AJ9" s="101">
        <v>1965</v>
      </c>
      <c r="AK9" s="38">
        <v>9</v>
      </c>
      <c r="AL9" s="38">
        <v>-705</v>
      </c>
      <c r="AM9" s="148">
        <v>335</v>
      </c>
      <c r="AN9" s="148">
        <v>167</v>
      </c>
      <c r="AO9" s="101">
        <v>-194</v>
      </c>
      <c r="AP9" s="148">
        <v>-8790</v>
      </c>
      <c r="AQ9" s="148">
        <v>-7</v>
      </c>
      <c r="AR9" s="148">
        <v>-106</v>
      </c>
      <c r="AS9" s="148">
        <v>974</v>
      </c>
      <c r="AT9" s="101">
        <v>-7929</v>
      </c>
      <c r="AU9" s="148">
        <v>0</v>
      </c>
      <c r="BA9" s="89"/>
    </row>
    <row r="10" spans="1:53" ht="15" customHeight="1" x14ac:dyDescent="0.25">
      <c r="A10" s="11" t="s">
        <v>135</v>
      </c>
      <c r="B10" s="38">
        <f>2+153</f>
        <v>155</v>
      </c>
      <c r="C10" s="38">
        <f>2+(-6)</f>
        <v>-4</v>
      </c>
      <c r="D10" s="38">
        <f>2+-(130)</f>
        <v>-128</v>
      </c>
      <c r="E10" s="38">
        <f>-3+5</f>
        <v>2</v>
      </c>
      <c r="F10" s="49">
        <f>6+22</f>
        <v>28</v>
      </c>
      <c r="G10" s="38">
        <f>2+10</f>
        <v>12</v>
      </c>
      <c r="H10" s="38">
        <f>1578+8</f>
        <v>1586</v>
      </c>
      <c r="I10" s="38">
        <v>-960</v>
      </c>
      <c r="J10" s="38">
        <f>-606+8</f>
        <v>-598</v>
      </c>
      <c r="K10" s="49">
        <v>39</v>
      </c>
      <c r="L10" s="38">
        <v>0</v>
      </c>
      <c r="M10" s="38">
        <v>0</v>
      </c>
      <c r="N10" s="38">
        <v>0</v>
      </c>
      <c r="O10" s="38">
        <v>0</v>
      </c>
      <c r="P10" s="101">
        <v>0</v>
      </c>
      <c r="Q10" s="38">
        <v>0</v>
      </c>
      <c r="R10" s="38">
        <v>0</v>
      </c>
      <c r="S10" s="38">
        <v>0</v>
      </c>
      <c r="T10" s="38">
        <v>0</v>
      </c>
      <c r="U10" s="101">
        <v>0</v>
      </c>
      <c r="V10" s="38">
        <v>0</v>
      </c>
      <c r="W10" s="38">
        <v>0</v>
      </c>
      <c r="X10" s="38">
        <v>0</v>
      </c>
      <c r="Y10" s="38">
        <v>0</v>
      </c>
      <c r="Z10" s="101">
        <v>0</v>
      </c>
      <c r="AA10" s="38">
        <v>0</v>
      </c>
      <c r="AB10" s="38">
        <v>0</v>
      </c>
      <c r="AC10" s="38">
        <v>0</v>
      </c>
      <c r="AD10" s="38">
        <v>0</v>
      </c>
      <c r="AE10" s="101">
        <v>3720</v>
      </c>
      <c r="AF10" s="38">
        <v>0</v>
      </c>
      <c r="AH10" s="38">
        <v>0</v>
      </c>
      <c r="AI10" s="38">
        <v>0</v>
      </c>
      <c r="AJ10" s="101">
        <v>0</v>
      </c>
      <c r="AK10" s="38">
        <v>0</v>
      </c>
      <c r="AL10" s="38">
        <v>0</v>
      </c>
      <c r="AM10" s="148">
        <v>-2244</v>
      </c>
      <c r="AN10" s="148">
        <v>1985</v>
      </c>
      <c r="AO10" s="101">
        <v>-259</v>
      </c>
      <c r="AP10" s="148">
        <v>0</v>
      </c>
      <c r="AQ10" s="148">
        <v>0</v>
      </c>
      <c r="AR10" s="148">
        <v>0</v>
      </c>
      <c r="AS10" s="148">
        <v>0</v>
      </c>
      <c r="AT10" s="101">
        <v>0</v>
      </c>
      <c r="AU10" s="148">
        <v>0</v>
      </c>
    </row>
    <row r="11" spans="1:53" ht="15" customHeight="1" x14ac:dyDescent="0.25">
      <c r="A11" s="11" t="s">
        <v>136</v>
      </c>
      <c r="B11" s="38"/>
      <c r="C11" s="38"/>
      <c r="D11" s="38"/>
      <c r="E11" s="38"/>
      <c r="F11" s="49"/>
      <c r="G11" s="38"/>
      <c r="H11" s="38"/>
      <c r="I11" s="38"/>
      <c r="J11" s="38"/>
      <c r="K11" s="49"/>
      <c r="L11" s="38"/>
      <c r="M11" s="38"/>
      <c r="N11" s="38"/>
      <c r="O11" s="38"/>
      <c r="P11" s="101"/>
      <c r="Q11" s="38"/>
      <c r="R11" s="38"/>
      <c r="S11" s="38"/>
      <c r="T11" s="38"/>
      <c r="U11" s="101"/>
      <c r="V11" s="38"/>
      <c r="W11" s="38"/>
      <c r="X11" s="38"/>
      <c r="Y11" s="38"/>
      <c r="Z11" s="101"/>
      <c r="AA11" s="38"/>
      <c r="AB11" s="38"/>
      <c r="AC11" s="38"/>
      <c r="AD11" s="38"/>
      <c r="AE11" s="101"/>
      <c r="AF11" s="38"/>
      <c r="AH11" s="38"/>
      <c r="AI11" s="38">
        <v>0</v>
      </c>
      <c r="AJ11" s="101">
        <v>0</v>
      </c>
      <c r="AK11" s="38">
        <v>0</v>
      </c>
      <c r="AL11" s="38">
        <v>0</v>
      </c>
      <c r="AM11" s="148">
        <v>0</v>
      </c>
      <c r="AN11" s="148">
        <v>412</v>
      </c>
      <c r="AO11" s="101">
        <v>412</v>
      </c>
      <c r="AP11" s="148">
        <v>-60.07</v>
      </c>
      <c r="AQ11" s="148">
        <v>-406.84000000000003</v>
      </c>
      <c r="AR11" s="148">
        <v>152.74</v>
      </c>
      <c r="AS11" s="148">
        <v>-566.24</v>
      </c>
      <c r="AT11" s="101">
        <v>-880</v>
      </c>
      <c r="AU11" s="148">
        <v>882</v>
      </c>
    </row>
    <row r="12" spans="1:53" ht="15" customHeight="1" x14ac:dyDescent="0.25">
      <c r="A12" s="11" t="s">
        <v>137</v>
      </c>
      <c r="B12" s="38"/>
      <c r="C12" s="38"/>
      <c r="D12" s="38"/>
      <c r="E12" s="38"/>
      <c r="F12" s="49"/>
      <c r="G12" s="38"/>
      <c r="H12" s="38"/>
      <c r="I12" s="38"/>
      <c r="J12" s="38"/>
      <c r="K12" s="49"/>
      <c r="L12" s="38"/>
      <c r="M12" s="38"/>
      <c r="N12" s="38"/>
      <c r="O12" s="38"/>
      <c r="P12" s="101"/>
      <c r="Q12" s="38"/>
      <c r="R12" s="38"/>
      <c r="S12" s="38"/>
      <c r="T12" s="38"/>
      <c r="U12" s="101"/>
      <c r="V12" s="38"/>
      <c r="W12" s="38"/>
      <c r="X12" s="38"/>
      <c r="Y12" s="38"/>
      <c r="Z12" s="101"/>
      <c r="AA12" s="38"/>
      <c r="AB12" s="38"/>
      <c r="AC12" s="38"/>
      <c r="AD12" s="38"/>
      <c r="AE12" s="101"/>
      <c r="AF12" s="38"/>
      <c r="AH12" s="38"/>
      <c r="AI12" s="38">
        <v>0</v>
      </c>
      <c r="AJ12" s="101">
        <v>0</v>
      </c>
      <c r="AK12" s="38">
        <v>0</v>
      </c>
      <c r="AL12" s="38">
        <v>0</v>
      </c>
      <c r="AM12" s="148">
        <v>0</v>
      </c>
      <c r="AN12" s="148">
        <v>771</v>
      </c>
      <c r="AO12" s="101">
        <v>771</v>
      </c>
      <c r="AP12" s="148">
        <v>85.82</v>
      </c>
      <c r="AQ12" s="148">
        <v>429.71999999999997</v>
      </c>
      <c r="AR12" s="148">
        <v>983.81</v>
      </c>
      <c r="AS12" s="148">
        <v>845</v>
      </c>
      <c r="AT12" s="101">
        <v>2344</v>
      </c>
      <c r="AU12" s="148">
        <v>3237</v>
      </c>
    </row>
    <row r="13" spans="1:53" ht="15" customHeight="1" x14ac:dyDescent="0.25">
      <c r="A13" s="5" t="s">
        <v>138</v>
      </c>
      <c r="B13" s="38">
        <v>31</v>
      </c>
      <c r="C13" s="38">
        <v>-2200</v>
      </c>
      <c r="D13" s="38">
        <v>-979</v>
      </c>
      <c r="E13" s="38">
        <v>-12599</v>
      </c>
      <c r="F13" s="49">
        <v>-15748</v>
      </c>
      <c r="G13" s="38">
        <v>-1138</v>
      </c>
      <c r="H13" s="38">
        <f>-3286+1</f>
        <v>-3285</v>
      </c>
      <c r="I13" s="38">
        <v>-3121</v>
      </c>
      <c r="J13" s="38">
        <v>-2478</v>
      </c>
      <c r="K13" s="49">
        <v>-10024</v>
      </c>
      <c r="L13" s="38">
        <v>-6870</v>
      </c>
      <c r="M13" s="38">
        <v>-5536</v>
      </c>
      <c r="N13" s="38">
        <v>-8164</v>
      </c>
      <c r="O13" s="38">
        <v>7300</v>
      </c>
      <c r="P13" s="101">
        <v>-13269</v>
      </c>
      <c r="Q13" s="38">
        <v>-3146</v>
      </c>
      <c r="R13" s="38">
        <v>-4389</v>
      </c>
      <c r="S13" s="38">
        <v>-1806</v>
      </c>
      <c r="T13" s="38">
        <v>1184</v>
      </c>
      <c r="U13" s="101">
        <v>-8157</v>
      </c>
      <c r="V13" s="38">
        <v>-5916</v>
      </c>
      <c r="W13" s="38">
        <v>7252</v>
      </c>
      <c r="X13" s="38">
        <v>-2710</v>
      </c>
      <c r="Y13" s="38">
        <v>16792</v>
      </c>
      <c r="Z13" s="101">
        <v>15418</v>
      </c>
      <c r="AA13" s="38">
        <v>-2678</v>
      </c>
      <c r="AB13" s="38">
        <v>-4939</v>
      </c>
      <c r="AC13" s="38">
        <v>-80</v>
      </c>
      <c r="AD13" s="38">
        <v>11417</v>
      </c>
      <c r="AE13" s="101"/>
      <c r="AF13" s="38">
        <v>4998</v>
      </c>
      <c r="AG13" s="38">
        <v>-2693</v>
      </c>
      <c r="AH13" s="38">
        <v>2263</v>
      </c>
      <c r="AI13" s="38">
        <v>-23210</v>
      </c>
      <c r="AJ13" s="101">
        <v>-18642</v>
      </c>
      <c r="AK13" s="38">
        <v>2868</v>
      </c>
      <c r="AL13" s="38">
        <v>-9982</v>
      </c>
      <c r="AM13" s="148">
        <v>-8937</v>
      </c>
      <c r="AN13" s="148">
        <v>19653</v>
      </c>
      <c r="AO13" s="101">
        <v>3602</v>
      </c>
      <c r="AP13" s="148">
        <v>-12297</v>
      </c>
      <c r="AQ13" s="148">
        <v>-8239</v>
      </c>
      <c r="AR13" s="148">
        <v>-4206</v>
      </c>
      <c r="AS13" s="148">
        <v>1154</v>
      </c>
      <c r="AT13" s="101">
        <v>-23588</v>
      </c>
      <c r="AU13" s="148">
        <v>3174</v>
      </c>
    </row>
    <row r="14" spans="1:53" ht="15" hidden="1" customHeight="1" outlineLevel="1" x14ac:dyDescent="0.25">
      <c r="A14" s="5" t="s">
        <v>139</v>
      </c>
      <c r="B14" s="38">
        <v>7113</v>
      </c>
      <c r="C14" s="38">
        <v>3565</v>
      </c>
      <c r="D14" s="38">
        <v>6367</v>
      </c>
      <c r="E14" s="38">
        <v>8177</v>
      </c>
      <c r="F14" s="49">
        <v>25221</v>
      </c>
      <c r="G14" s="38">
        <v>9082</v>
      </c>
      <c r="H14" s="38">
        <v>7780</v>
      </c>
      <c r="I14" s="38">
        <v>10695</v>
      </c>
      <c r="J14" s="38">
        <v>15639</v>
      </c>
      <c r="K14" s="49">
        <v>43196</v>
      </c>
      <c r="L14" s="38">
        <v>11071</v>
      </c>
      <c r="M14" s="38">
        <v>9201</v>
      </c>
      <c r="N14" s="38">
        <v>16022</v>
      </c>
      <c r="O14" s="38">
        <v>8628</v>
      </c>
      <c r="P14" s="101">
        <v>44921</v>
      </c>
      <c r="Q14" s="38">
        <v>15532</v>
      </c>
      <c r="R14" s="38">
        <v>13028</v>
      </c>
      <c r="S14" s="38">
        <v>8626</v>
      </c>
      <c r="T14" s="38">
        <v>17115</v>
      </c>
      <c r="U14" s="101">
        <v>54301</v>
      </c>
      <c r="V14" s="38">
        <v>15934</v>
      </c>
      <c r="W14" s="38"/>
      <c r="X14" s="38"/>
      <c r="Y14" s="38"/>
      <c r="Z14" s="101"/>
      <c r="AA14" s="38"/>
      <c r="AB14" s="38"/>
      <c r="AC14" s="38">
        <v>1153</v>
      </c>
      <c r="AD14" s="38"/>
      <c r="AE14" s="101"/>
      <c r="AF14" s="38"/>
      <c r="AG14" s="38"/>
      <c r="AH14" s="38"/>
      <c r="AI14" s="38"/>
      <c r="AJ14" s="101">
        <v>51</v>
      </c>
      <c r="AK14" s="38">
        <v>-432</v>
      </c>
      <c r="AL14" s="38">
        <v>-14246</v>
      </c>
      <c r="AM14" s="148">
        <v>1779</v>
      </c>
      <c r="AN14" s="148">
        <v>1947</v>
      </c>
      <c r="AO14" s="101">
        <v>-10952</v>
      </c>
      <c r="AP14" s="148">
        <v>-137</v>
      </c>
      <c r="AQ14" s="148"/>
      <c r="AR14" s="148">
        <v>-4392</v>
      </c>
      <c r="AS14" s="148">
        <v>18737</v>
      </c>
      <c r="AT14" s="101">
        <v>730</v>
      </c>
      <c r="AU14" s="148"/>
    </row>
    <row r="15" spans="1:53" ht="15" hidden="1" customHeight="1" outlineLevel="1" x14ac:dyDescent="0.25">
      <c r="A15" s="5" t="s">
        <v>140</v>
      </c>
      <c r="B15" s="38">
        <v>-3397</v>
      </c>
      <c r="C15" s="38">
        <v>-5512</v>
      </c>
      <c r="D15" s="38">
        <v>-4328</v>
      </c>
      <c r="E15" s="38">
        <v>-5568</v>
      </c>
      <c r="F15" s="48">
        <f>SUM(B15:E15)</f>
        <v>-18805</v>
      </c>
      <c r="G15" s="38">
        <v>-11986</v>
      </c>
      <c r="H15" s="38">
        <v>-13889</v>
      </c>
      <c r="I15" s="38">
        <v>-12278</v>
      </c>
      <c r="J15" s="38">
        <v>-5370</v>
      </c>
      <c r="K15" s="48">
        <f>SUM(G15:J15)+1</f>
        <v>-43522</v>
      </c>
      <c r="L15" s="38">
        <v>-11683</v>
      </c>
      <c r="M15" s="38">
        <v>-15848</v>
      </c>
      <c r="N15" s="38">
        <v>-10165</v>
      </c>
      <c r="O15" s="38">
        <v>-18664</v>
      </c>
      <c r="P15" s="100">
        <f>SUM(L15:O15)</f>
        <v>-56360</v>
      </c>
      <c r="Q15" s="38">
        <v>-14216</v>
      </c>
      <c r="R15" s="38">
        <v>-18344</v>
      </c>
      <c r="S15" s="38">
        <v>-23614</v>
      </c>
      <c r="T15" s="38">
        <v>-10871</v>
      </c>
      <c r="U15" s="100">
        <f>SUM(Q15:T15)</f>
        <v>-67045</v>
      </c>
      <c r="V15" s="38">
        <v>-17868</v>
      </c>
      <c r="W15" s="38"/>
      <c r="X15" s="38"/>
      <c r="Y15" s="38"/>
      <c r="Z15" s="100"/>
      <c r="AA15" s="38"/>
      <c r="AB15" s="38"/>
      <c r="AC15" s="38"/>
      <c r="AD15" s="38"/>
      <c r="AE15" s="100"/>
      <c r="AF15" s="38"/>
      <c r="AG15" s="38"/>
      <c r="AH15" s="38"/>
      <c r="AI15" s="38"/>
      <c r="AJ15" s="100"/>
      <c r="AK15" s="38">
        <v>-3819</v>
      </c>
      <c r="AL15" s="38">
        <v>-11478</v>
      </c>
      <c r="AM15" s="148">
        <v>-8349</v>
      </c>
      <c r="AN15" s="148" t="s">
        <v>132</v>
      </c>
      <c r="AO15" s="100">
        <v>-23646</v>
      </c>
      <c r="AP15" s="148" t="s">
        <v>141</v>
      </c>
      <c r="AQ15" s="148"/>
      <c r="AR15" s="148"/>
      <c r="AS15" s="148"/>
      <c r="AT15" s="101"/>
      <c r="AU15" s="148"/>
    </row>
    <row r="16" spans="1:53" ht="15" customHeight="1" collapsed="1" x14ac:dyDescent="0.25">
      <c r="A16" s="92" t="s">
        <v>142</v>
      </c>
      <c r="B16" s="37">
        <f t="shared" ref="B16:Q16" si="7">SUM(B14:B15)</f>
        <v>3716</v>
      </c>
      <c r="C16" s="37">
        <f t="shared" si="7"/>
        <v>-1947</v>
      </c>
      <c r="D16" s="37">
        <f t="shared" si="7"/>
        <v>2039</v>
      </c>
      <c r="E16" s="37">
        <f t="shared" si="7"/>
        <v>2609</v>
      </c>
      <c r="F16" s="48">
        <f t="shared" si="7"/>
        <v>6416</v>
      </c>
      <c r="G16" s="37">
        <f t="shared" si="7"/>
        <v>-2904</v>
      </c>
      <c r="H16" s="37">
        <f t="shared" si="7"/>
        <v>-6109</v>
      </c>
      <c r="I16" s="37">
        <f t="shared" si="7"/>
        <v>-1583</v>
      </c>
      <c r="J16" s="37">
        <f t="shared" si="7"/>
        <v>10269</v>
      </c>
      <c r="K16" s="48">
        <f t="shared" si="7"/>
        <v>-326</v>
      </c>
      <c r="L16" s="37">
        <f t="shared" si="7"/>
        <v>-612</v>
      </c>
      <c r="M16" s="37">
        <f t="shared" si="7"/>
        <v>-6647</v>
      </c>
      <c r="N16" s="37">
        <f t="shared" si="7"/>
        <v>5857</v>
      </c>
      <c r="O16" s="37">
        <f t="shared" si="7"/>
        <v>-10036</v>
      </c>
      <c r="P16" s="100">
        <f t="shared" si="7"/>
        <v>-11439</v>
      </c>
      <c r="Q16" s="37">
        <f t="shared" si="7"/>
        <v>1316</v>
      </c>
      <c r="R16" s="37">
        <f>SUM(R14:R15)</f>
        <v>-5316</v>
      </c>
      <c r="S16" s="37">
        <f t="shared" ref="S16" si="8">SUM(S14:S15)</f>
        <v>-14988</v>
      </c>
      <c r="T16" s="37">
        <f t="shared" ref="T16" si="9">SUM(T14:T15)</f>
        <v>6244</v>
      </c>
      <c r="U16" s="100">
        <f t="shared" ref="U16" si="10">SUM(U14:U15)</f>
        <v>-12744</v>
      </c>
      <c r="V16" s="37">
        <f t="shared" ref="V16" si="11">SUM(V14:V15)</f>
        <v>-1934</v>
      </c>
      <c r="W16" s="38">
        <v>-8696</v>
      </c>
      <c r="X16" s="38">
        <v>-9309</v>
      </c>
      <c r="Y16" s="38">
        <v>-8076</v>
      </c>
      <c r="Z16" s="101">
        <v>-28015</v>
      </c>
      <c r="AA16" s="38">
        <v>-2329</v>
      </c>
      <c r="AB16" s="38">
        <v>3056</v>
      </c>
      <c r="AC16" s="38">
        <v>6684</v>
      </c>
      <c r="AD16" s="38">
        <v>3456</v>
      </c>
      <c r="AE16" s="101">
        <v>10867</v>
      </c>
      <c r="AF16" s="38">
        <v>-3379</v>
      </c>
      <c r="AG16" s="38">
        <v>1724</v>
      </c>
      <c r="AH16" s="38">
        <v>-4165</v>
      </c>
      <c r="AI16" s="38">
        <v>11863</v>
      </c>
      <c r="AJ16" s="101">
        <v>6043</v>
      </c>
      <c r="AK16" s="38">
        <v>-432</v>
      </c>
      <c r="AL16" s="38">
        <v>-14246</v>
      </c>
      <c r="AM16" s="148">
        <v>1779</v>
      </c>
      <c r="AN16" s="148">
        <v>1947</v>
      </c>
      <c r="AO16" s="101">
        <v>-10952</v>
      </c>
      <c r="AP16" s="148">
        <v>-137</v>
      </c>
      <c r="AQ16" s="148">
        <v>-13478</v>
      </c>
      <c r="AR16" s="148">
        <v>-4392</v>
      </c>
      <c r="AS16" s="148">
        <v>22431</v>
      </c>
      <c r="AT16" s="128">
        <v>4424</v>
      </c>
      <c r="AU16" s="148">
        <v>-2255</v>
      </c>
    </row>
    <row r="17" spans="1:47" ht="15" customHeight="1" collapsed="1" x14ac:dyDescent="0.25">
      <c r="A17" s="92" t="s">
        <v>143</v>
      </c>
      <c r="B17" s="37">
        <v>0</v>
      </c>
      <c r="C17" s="37">
        <v>0</v>
      </c>
      <c r="D17" s="37">
        <v>0</v>
      </c>
      <c r="E17" s="37">
        <v>0</v>
      </c>
      <c r="F17" s="48"/>
      <c r="G17" s="37">
        <v>0</v>
      </c>
      <c r="H17" s="37">
        <v>0</v>
      </c>
      <c r="I17" s="37">
        <v>0</v>
      </c>
      <c r="J17" s="37">
        <v>0</v>
      </c>
      <c r="K17" s="48">
        <v>0</v>
      </c>
      <c r="L17" s="37">
        <v>16</v>
      </c>
      <c r="M17" s="37">
        <v>15</v>
      </c>
      <c r="N17" s="37">
        <v>6119</v>
      </c>
      <c r="O17" s="37">
        <v>-1186</v>
      </c>
      <c r="P17" s="100">
        <v>4965</v>
      </c>
      <c r="Q17" s="37">
        <v>-3299</v>
      </c>
      <c r="R17" s="37">
        <v>41</v>
      </c>
      <c r="S17" s="37">
        <v>20</v>
      </c>
      <c r="T17" s="37">
        <v>148</v>
      </c>
      <c r="U17" s="100">
        <v>-3088</v>
      </c>
      <c r="V17" s="37">
        <v>-678</v>
      </c>
      <c r="W17" s="38">
        <v>410</v>
      </c>
      <c r="X17" s="38">
        <v>175</v>
      </c>
      <c r="Y17" s="38">
        <v>862</v>
      </c>
      <c r="Z17" s="101">
        <v>769</v>
      </c>
      <c r="AA17" s="38">
        <v>23</v>
      </c>
      <c r="AB17" s="38">
        <v>22</v>
      </c>
      <c r="AC17" s="38">
        <v>1153</v>
      </c>
      <c r="AD17" s="38">
        <v>769</v>
      </c>
      <c r="AE17" s="101">
        <v>1967</v>
      </c>
      <c r="AF17" s="38">
        <v>13</v>
      </c>
      <c r="AG17" s="38">
        <v>12</v>
      </c>
      <c r="AH17" s="38">
        <v>13</v>
      </c>
      <c r="AI17" s="38">
        <v>13</v>
      </c>
      <c r="AJ17" s="101">
        <v>51</v>
      </c>
      <c r="AK17" s="38">
        <v>-3819</v>
      </c>
      <c r="AL17" s="38">
        <v>-11478</v>
      </c>
      <c r="AM17" s="148">
        <v>-8349</v>
      </c>
      <c r="AN17" s="148">
        <v>0</v>
      </c>
      <c r="AO17" s="101">
        <v>-23646</v>
      </c>
      <c r="AP17" s="148">
        <f>692-AP11-AP12</f>
        <v>666.25</v>
      </c>
      <c r="AQ17" s="148">
        <f>1379-AQ11-AQ12</f>
        <v>1356.1200000000001</v>
      </c>
      <c r="AR17" s="148">
        <f>2980-AR11-AR12</f>
        <v>1843.4500000000003</v>
      </c>
      <c r="AS17" s="148">
        <v>-1055</v>
      </c>
      <c r="AT17" s="101">
        <v>2811</v>
      </c>
      <c r="AU17" s="148">
        <v>2596</v>
      </c>
    </row>
    <row r="18" spans="1:47" ht="15" customHeight="1" x14ac:dyDescent="0.25">
      <c r="A18" s="10" t="s">
        <v>144</v>
      </c>
      <c r="B18" s="41">
        <f t="shared" ref="B18:Z18" si="12">SUM(B19:B24)</f>
        <v>8905</v>
      </c>
      <c r="C18" s="41">
        <f t="shared" si="12"/>
        <v>-4125</v>
      </c>
      <c r="D18" s="41">
        <f t="shared" si="12"/>
        <v>-7120</v>
      </c>
      <c r="E18" s="41">
        <f t="shared" si="12"/>
        <v>17572</v>
      </c>
      <c r="F18" s="53">
        <f t="shared" si="12"/>
        <v>15231</v>
      </c>
      <c r="G18" s="41">
        <f t="shared" si="12"/>
        <v>-17140</v>
      </c>
      <c r="H18" s="41">
        <f t="shared" si="12"/>
        <v>-10297</v>
      </c>
      <c r="I18" s="41">
        <f t="shared" si="12"/>
        <v>4576</v>
      </c>
      <c r="J18" s="41">
        <f t="shared" si="12"/>
        <v>-6600</v>
      </c>
      <c r="K18" s="53">
        <f t="shared" si="12"/>
        <v>-29460</v>
      </c>
      <c r="L18" s="41">
        <f t="shared" si="12"/>
        <v>-70</v>
      </c>
      <c r="M18" s="41">
        <f t="shared" si="12"/>
        <v>25860</v>
      </c>
      <c r="N18" s="41">
        <f t="shared" si="12"/>
        <v>-12372</v>
      </c>
      <c r="O18" s="41">
        <f t="shared" si="12"/>
        <v>-20513</v>
      </c>
      <c r="P18" s="105">
        <f t="shared" si="12"/>
        <v>-7095</v>
      </c>
      <c r="Q18" s="41">
        <f t="shared" si="12"/>
        <v>23687</v>
      </c>
      <c r="R18" s="41">
        <f t="shared" si="12"/>
        <v>-10043</v>
      </c>
      <c r="S18" s="41">
        <f t="shared" si="12"/>
        <v>3929</v>
      </c>
      <c r="T18" s="41">
        <f t="shared" si="12"/>
        <v>-7162</v>
      </c>
      <c r="U18" s="105">
        <f t="shared" si="12"/>
        <v>10411</v>
      </c>
      <c r="V18" s="41">
        <f t="shared" si="12"/>
        <v>20821</v>
      </c>
      <c r="W18" s="41">
        <f>SUM(W19:W24)</f>
        <v>11466</v>
      </c>
      <c r="X18" s="41">
        <f t="shared" si="12"/>
        <v>3956</v>
      </c>
      <c r="Y18" s="41">
        <f t="shared" si="12"/>
        <v>-35661</v>
      </c>
      <c r="Z18" s="105">
        <f t="shared" si="12"/>
        <v>582</v>
      </c>
      <c r="AA18" s="41">
        <f t="shared" ref="AA18" si="13">SUM(AA19:AA24)</f>
        <v>7487</v>
      </c>
      <c r="AB18" s="41">
        <f>SUM(AB19:AB24)</f>
        <v>-5856</v>
      </c>
      <c r="AC18" s="41">
        <f t="shared" ref="AC18:AF18" si="14">SUM(AC19:AC24)</f>
        <v>6032</v>
      </c>
      <c r="AD18" s="41">
        <f t="shared" si="14"/>
        <v>-51625</v>
      </c>
      <c r="AE18" s="105">
        <f t="shared" si="14"/>
        <v>-43962</v>
      </c>
      <c r="AF18" s="41">
        <f t="shared" si="14"/>
        <v>23895</v>
      </c>
      <c r="AG18" s="41">
        <f>SUM(AG19:AG24)</f>
        <v>-24557</v>
      </c>
      <c r="AH18" s="41">
        <f t="shared" ref="AH18:AK18" si="15">SUM(AH19:AH24)</f>
        <v>-10719</v>
      </c>
      <c r="AI18" s="41">
        <f t="shared" si="15"/>
        <v>-30232</v>
      </c>
      <c r="AJ18" s="105">
        <f t="shared" si="15"/>
        <v>-41613</v>
      </c>
      <c r="AK18" s="41">
        <f t="shared" si="15"/>
        <v>18926</v>
      </c>
      <c r="AL18" s="41">
        <f>SUM(AL19:AL24)</f>
        <v>-16556</v>
      </c>
      <c r="AM18" s="263">
        <f t="shared" ref="AM18:AO18" si="16">SUM(AM19:AM24)</f>
        <v>11291</v>
      </c>
      <c r="AN18" s="263">
        <f>SUM(AN19:AN24)</f>
        <v>46420</v>
      </c>
      <c r="AO18" s="105">
        <f t="shared" si="16"/>
        <v>60081</v>
      </c>
      <c r="AP18" s="263">
        <f>SUM(AP19:AP24)</f>
        <v>22088</v>
      </c>
      <c r="AQ18" s="263">
        <f>SUM(AQ19:AQ24)</f>
        <v>-13640</v>
      </c>
      <c r="AR18" s="263">
        <f>SUM(AR19:AR24)</f>
        <v>19159</v>
      </c>
      <c r="AS18" s="263">
        <f>AS19+AS20+AS21+AS22+AS24</f>
        <v>38626</v>
      </c>
      <c r="AT18" s="105">
        <f>AT19+AT20+AT21+AT22+AT24</f>
        <v>66233</v>
      </c>
      <c r="AU18" s="263">
        <f>SUM(AU19:AU24)</f>
        <v>-54710</v>
      </c>
    </row>
    <row r="19" spans="1:47" ht="15" customHeight="1" x14ac:dyDescent="0.25">
      <c r="A19" s="5" t="s">
        <v>145</v>
      </c>
      <c r="B19" s="59">
        <v>-9421</v>
      </c>
      <c r="C19" s="38">
        <v>-3218</v>
      </c>
      <c r="D19" s="59">
        <v>-14795</v>
      </c>
      <c r="E19" s="59">
        <v>-55986</v>
      </c>
      <c r="F19" s="62">
        <v>-83420</v>
      </c>
      <c r="G19" s="59">
        <v>4758</v>
      </c>
      <c r="H19" s="59">
        <v>-7126</v>
      </c>
      <c r="I19" s="59">
        <v>-2160</v>
      </c>
      <c r="J19" s="59">
        <v>-113442</v>
      </c>
      <c r="K19" s="62">
        <v>-117970</v>
      </c>
      <c r="L19" s="59">
        <v>59569</v>
      </c>
      <c r="M19" s="59">
        <v>-23358</v>
      </c>
      <c r="N19" s="59">
        <v>-991</v>
      </c>
      <c r="O19" s="59">
        <v>-112127</v>
      </c>
      <c r="P19" s="112">
        <v>-76907</v>
      </c>
      <c r="Q19" s="59">
        <v>91292</v>
      </c>
      <c r="R19" s="59">
        <v>10154</v>
      </c>
      <c r="S19" s="59">
        <v>12931</v>
      </c>
      <c r="T19" s="59">
        <v>-113019</v>
      </c>
      <c r="U19" s="112">
        <v>1358</v>
      </c>
      <c r="V19" s="59">
        <v>86018</v>
      </c>
      <c r="W19" s="59">
        <v>19325</v>
      </c>
      <c r="X19" s="59">
        <v>14821</v>
      </c>
      <c r="Y19" s="59">
        <v>-119288</v>
      </c>
      <c r="Z19" s="112">
        <v>876</v>
      </c>
      <c r="AA19" s="59">
        <v>99388</v>
      </c>
      <c r="AB19" s="59">
        <v>27318</v>
      </c>
      <c r="AC19" s="59">
        <v>-4177</v>
      </c>
      <c r="AD19" s="59">
        <v>-126486</v>
      </c>
      <c r="AE19" s="112">
        <v>-3957</v>
      </c>
      <c r="AF19" s="59">
        <v>47226</v>
      </c>
      <c r="AG19" s="59">
        <v>-21031</v>
      </c>
      <c r="AH19" s="59">
        <v>-9541</v>
      </c>
      <c r="AI19" s="59">
        <v>-151604</v>
      </c>
      <c r="AJ19" s="112">
        <v>-134950</v>
      </c>
      <c r="AK19" s="59">
        <v>92738</v>
      </c>
      <c r="AL19" s="59">
        <v>-27262</v>
      </c>
      <c r="AM19" s="271">
        <v>9923</v>
      </c>
      <c r="AN19" s="271">
        <v>-117309</v>
      </c>
      <c r="AO19" s="112">
        <v>-41910</v>
      </c>
      <c r="AP19" s="271">
        <v>164120</v>
      </c>
      <c r="AQ19" s="271">
        <v>-34666</v>
      </c>
      <c r="AR19" s="271">
        <v>-50564</v>
      </c>
      <c r="AS19" s="271">
        <v>-135234</v>
      </c>
      <c r="AT19" s="112">
        <v>-56344</v>
      </c>
      <c r="AU19" s="271">
        <v>158056</v>
      </c>
    </row>
    <row r="20" spans="1:47" ht="15" customHeight="1" x14ac:dyDescent="0.25">
      <c r="A20" s="5" t="s">
        <v>146</v>
      </c>
      <c r="B20" s="38">
        <v>23937</v>
      </c>
      <c r="C20" s="38">
        <v>3682</v>
      </c>
      <c r="D20" s="38">
        <v>11899</v>
      </c>
      <c r="E20" s="38">
        <v>60529</v>
      </c>
      <c r="F20" s="49">
        <v>100047</v>
      </c>
      <c r="G20" s="38">
        <v>-13906</v>
      </c>
      <c r="H20" s="38">
        <v>-1244</v>
      </c>
      <c r="I20" s="38">
        <v>11218</v>
      </c>
      <c r="J20" s="38">
        <v>85793</v>
      </c>
      <c r="K20" s="49">
        <v>81862</v>
      </c>
      <c r="L20" s="38">
        <v>-75030</v>
      </c>
      <c r="M20" s="38">
        <v>48776</v>
      </c>
      <c r="N20" s="38">
        <v>-5031</v>
      </c>
      <c r="O20" s="38">
        <v>64199</v>
      </c>
      <c r="P20" s="101">
        <v>32915</v>
      </c>
      <c r="Q20" s="38">
        <v>-62945</v>
      </c>
      <c r="R20" s="38">
        <v>-26745</v>
      </c>
      <c r="S20" s="38">
        <v>13091</v>
      </c>
      <c r="T20" s="38">
        <v>85646</v>
      </c>
      <c r="U20" s="101">
        <v>9047</v>
      </c>
      <c r="V20" s="38">
        <v>-58485</v>
      </c>
      <c r="W20" s="38">
        <v>-14995</v>
      </c>
      <c r="X20" s="38">
        <v>-4415</v>
      </c>
      <c r="Y20" s="38">
        <v>63750</v>
      </c>
      <c r="Z20" s="101">
        <v>-14145</v>
      </c>
      <c r="AA20" s="38">
        <v>-81679</v>
      </c>
      <c r="AB20" s="38">
        <v>-22118</v>
      </c>
      <c r="AC20" s="38">
        <v>8494</v>
      </c>
      <c r="AD20" s="38">
        <v>61989</v>
      </c>
      <c r="AE20" s="101">
        <v>-33314</v>
      </c>
      <c r="AF20" s="38">
        <v>-10640</v>
      </c>
      <c r="AG20" s="38">
        <v>-9266</v>
      </c>
      <c r="AH20" s="38">
        <v>14213</v>
      </c>
      <c r="AI20" s="38">
        <v>88384</v>
      </c>
      <c r="AJ20" s="101">
        <v>82691</v>
      </c>
      <c r="AK20" s="38">
        <v>-49672</v>
      </c>
      <c r="AL20" s="38">
        <v>32695</v>
      </c>
      <c r="AM20" s="148">
        <v>-2549</v>
      </c>
      <c r="AN20" s="148">
        <v>153318</v>
      </c>
      <c r="AO20" s="101">
        <v>133792</v>
      </c>
      <c r="AP20" s="148">
        <v>-145011</v>
      </c>
      <c r="AQ20" s="148">
        <v>16454</v>
      </c>
      <c r="AR20" s="148">
        <v>57367</v>
      </c>
      <c r="AS20" s="148">
        <v>159127</v>
      </c>
      <c r="AT20" s="101">
        <v>87937</v>
      </c>
      <c r="AU20" s="148">
        <v>-201921</v>
      </c>
    </row>
    <row r="21" spans="1:47" ht="15" customHeight="1" x14ac:dyDescent="0.25">
      <c r="A21" s="5" t="s">
        <v>147</v>
      </c>
      <c r="B21" s="38">
        <v>-10639</v>
      </c>
      <c r="C21" s="38">
        <v>-5243</v>
      </c>
      <c r="D21" s="38">
        <v>-8781</v>
      </c>
      <c r="E21" s="38">
        <v>563</v>
      </c>
      <c r="F21" s="49">
        <v>-24101</v>
      </c>
      <c r="G21" s="38">
        <v>-10368</v>
      </c>
      <c r="H21" s="38">
        <v>-5969</v>
      </c>
      <c r="I21" s="38">
        <v>-2856</v>
      </c>
      <c r="J21" s="38">
        <v>-9799</v>
      </c>
      <c r="K21" s="49">
        <v>-28432</v>
      </c>
      <c r="L21" s="38">
        <v>8253</v>
      </c>
      <c r="M21" s="38">
        <v>-3493</v>
      </c>
      <c r="N21" s="38">
        <v>4001</v>
      </c>
      <c r="O21" s="38">
        <v>-9962</v>
      </c>
      <c r="P21" s="101">
        <v>-3381</v>
      </c>
      <c r="Q21" s="38">
        <f>2672+5286</f>
        <v>7958</v>
      </c>
      <c r="R21" s="38">
        <v>5821</v>
      </c>
      <c r="S21" s="38">
        <v>-8229</v>
      </c>
      <c r="T21" s="38">
        <v>-1576</v>
      </c>
      <c r="U21" s="101">
        <v>3974</v>
      </c>
      <c r="V21" s="38">
        <v>-5992</v>
      </c>
      <c r="W21" s="38">
        <v>7504</v>
      </c>
      <c r="X21" s="38">
        <v>638</v>
      </c>
      <c r="Y21" s="38">
        <v>5481</v>
      </c>
      <c r="Z21" s="101">
        <v>7631</v>
      </c>
      <c r="AA21" s="38">
        <v>-10398</v>
      </c>
      <c r="AB21" s="38">
        <v>15448</v>
      </c>
      <c r="AC21" s="38">
        <v>-2762</v>
      </c>
      <c r="AD21" s="38">
        <v>-9476</v>
      </c>
      <c r="AE21" s="101">
        <v>-7188</v>
      </c>
      <c r="AF21" s="38">
        <v>-5050</v>
      </c>
      <c r="AG21" s="38">
        <v>-137</v>
      </c>
      <c r="AH21" s="38">
        <v>-7523</v>
      </c>
      <c r="AI21" s="38">
        <f>-6660-372</f>
        <v>-7032</v>
      </c>
      <c r="AJ21" s="101">
        <f>-19370-372</f>
        <v>-19742</v>
      </c>
      <c r="AK21" s="38">
        <v>-18947</v>
      </c>
      <c r="AL21" s="38">
        <v>4352</v>
      </c>
      <c r="AM21" s="148">
        <f>-8265-364</f>
        <v>-8629</v>
      </c>
      <c r="AN21" s="148">
        <v>8537</v>
      </c>
      <c r="AO21" s="101">
        <v>-14687</v>
      </c>
      <c r="AP21" s="148">
        <v>-13594</v>
      </c>
      <c r="AQ21" s="148">
        <v>6942</v>
      </c>
      <c r="AR21" s="148">
        <v>8620</v>
      </c>
      <c r="AS21" s="148">
        <v>-10447</v>
      </c>
      <c r="AT21" s="101">
        <v>-8479</v>
      </c>
      <c r="AU21" s="148">
        <v>-36857</v>
      </c>
    </row>
    <row r="22" spans="1:47" ht="15" customHeight="1" x14ac:dyDescent="0.25">
      <c r="A22" s="245" t="s">
        <v>148</v>
      </c>
      <c r="B22" s="38">
        <v>5028</v>
      </c>
      <c r="C22" s="38">
        <v>654</v>
      </c>
      <c r="D22" s="38">
        <v>4557</v>
      </c>
      <c r="E22" s="38">
        <v>12466</v>
      </c>
      <c r="F22" s="49">
        <v>22705</v>
      </c>
      <c r="G22" s="38">
        <v>2376</v>
      </c>
      <c r="H22" s="38">
        <v>4042</v>
      </c>
      <c r="I22" s="38">
        <v>-1626</v>
      </c>
      <c r="J22" s="38">
        <v>30848</v>
      </c>
      <c r="K22" s="49">
        <v>35080</v>
      </c>
      <c r="L22" s="38">
        <v>7138</v>
      </c>
      <c r="M22" s="38">
        <f>3935</f>
        <v>3935</v>
      </c>
      <c r="N22" s="38">
        <f>-10353+2</f>
        <v>-10351</v>
      </c>
      <c r="O22" s="38">
        <v>37377</v>
      </c>
      <c r="P22" s="101">
        <v>40278</v>
      </c>
      <c r="Q22" s="38">
        <f>-8395-4223</f>
        <v>-12618</v>
      </c>
      <c r="R22" s="38">
        <v>727</v>
      </c>
      <c r="S22" s="38">
        <v>-13864</v>
      </c>
      <c r="T22" s="38">
        <v>21787</v>
      </c>
      <c r="U22" s="101">
        <v>-3968</v>
      </c>
      <c r="V22" s="38">
        <v>2436</v>
      </c>
      <c r="W22" s="38">
        <v>3015</v>
      </c>
      <c r="X22" s="38">
        <v>-10177</v>
      </c>
      <c r="Y22" s="38">
        <v>16116</v>
      </c>
      <c r="Z22" s="101">
        <v>11390</v>
      </c>
      <c r="AA22" s="38">
        <v>-945</v>
      </c>
      <c r="AB22" s="38">
        <v>-25503</v>
      </c>
      <c r="AC22" s="38">
        <v>6303</v>
      </c>
      <c r="AD22" s="38">
        <v>26406</v>
      </c>
      <c r="AE22" s="101">
        <v>6261</v>
      </c>
      <c r="AF22" s="38">
        <v>-4527</v>
      </c>
      <c r="AG22" s="38">
        <v>3458</v>
      </c>
      <c r="AH22" s="38">
        <v>-4705</v>
      </c>
      <c r="AI22" s="38">
        <f>38328+479</f>
        <v>38807</v>
      </c>
      <c r="AJ22" s="101">
        <f>33616-583</f>
        <v>33033</v>
      </c>
      <c r="AK22" s="38">
        <v>-3182</v>
      </c>
      <c r="AL22" s="38">
        <v>-28131</v>
      </c>
      <c r="AM22" s="148">
        <v>11135</v>
      </c>
      <c r="AN22" s="148">
        <v>2316</v>
      </c>
      <c r="AO22" s="101">
        <v>-17862</v>
      </c>
      <c r="AP22" s="148">
        <v>16666</v>
      </c>
      <c r="AQ22" s="148">
        <v>-2069</v>
      </c>
      <c r="AR22" s="148">
        <v>3329</v>
      </c>
      <c r="AS22" s="148">
        <v>25889</v>
      </c>
      <c r="AT22" s="101">
        <v>43815</v>
      </c>
      <c r="AU22" s="148">
        <v>26734</v>
      </c>
    </row>
    <row r="23" spans="1:47" ht="15" hidden="1" customHeight="1" outlineLevel="1" x14ac:dyDescent="0.25">
      <c r="A23" s="88" t="s">
        <v>149</v>
      </c>
      <c r="B23" s="38"/>
      <c r="C23" s="38"/>
      <c r="D23" s="38"/>
      <c r="E23" s="38"/>
      <c r="F23" s="49"/>
      <c r="G23" s="38"/>
      <c r="H23" s="38"/>
      <c r="I23" s="38"/>
      <c r="J23" s="38"/>
      <c r="K23" s="49"/>
      <c r="L23" s="38"/>
      <c r="M23" s="38"/>
      <c r="N23" s="38"/>
      <c r="O23" s="38"/>
      <c r="P23" s="101"/>
      <c r="Q23" s="38"/>
      <c r="R23" s="38"/>
      <c r="S23" s="38"/>
      <c r="T23" s="38"/>
      <c r="U23" s="101"/>
      <c r="V23" s="38"/>
      <c r="W23" s="38"/>
      <c r="X23" s="38"/>
      <c r="Y23" s="38"/>
      <c r="Z23" s="101"/>
      <c r="AA23" s="38"/>
      <c r="AB23" s="38"/>
      <c r="AC23" s="38"/>
      <c r="AD23" s="38"/>
      <c r="AE23" s="101"/>
      <c r="AF23" s="38"/>
      <c r="AG23" s="38"/>
      <c r="AH23" s="38"/>
      <c r="AI23" s="148"/>
      <c r="AJ23" s="101"/>
      <c r="AK23" s="148"/>
      <c r="AL23" s="38"/>
      <c r="AM23" s="148"/>
      <c r="AN23" s="148"/>
      <c r="AO23" s="101"/>
      <c r="AP23" s="148"/>
      <c r="AQ23" s="148"/>
      <c r="AR23" s="148"/>
      <c r="AS23" s="148">
        <v>-709</v>
      </c>
      <c r="AT23" s="101">
        <v>-696</v>
      </c>
      <c r="AU23" s="148"/>
    </row>
    <row r="24" spans="1:47" ht="15" customHeight="1" collapsed="1" x14ac:dyDescent="0.25">
      <c r="A24" s="88" t="s">
        <v>150</v>
      </c>
      <c r="B24" s="40"/>
      <c r="C24" s="40"/>
      <c r="D24" s="40"/>
      <c r="E24" s="40"/>
      <c r="F24" s="52"/>
      <c r="G24" s="40"/>
      <c r="H24" s="40"/>
      <c r="I24" s="40"/>
      <c r="J24" s="40"/>
      <c r="K24" s="52"/>
      <c r="L24" s="40"/>
      <c r="M24" s="40"/>
      <c r="N24" s="40"/>
      <c r="O24" s="40"/>
      <c r="P24" s="104"/>
      <c r="Q24" s="40"/>
      <c r="R24" s="40"/>
      <c r="S24" s="40"/>
      <c r="T24" s="40"/>
      <c r="U24" s="104"/>
      <c r="V24" s="40">
        <v>-3156</v>
      </c>
      <c r="W24" s="40">
        <v>-3383</v>
      </c>
      <c r="X24" s="40">
        <v>3089</v>
      </c>
      <c r="Y24" s="40">
        <v>-1720</v>
      </c>
      <c r="Z24" s="104">
        <v>-5170</v>
      </c>
      <c r="AA24" s="40">
        <v>1121</v>
      </c>
      <c r="AB24" s="40">
        <v>-1001</v>
      </c>
      <c r="AC24" s="40">
        <v>-1826</v>
      </c>
      <c r="AD24" s="40">
        <v>-4058</v>
      </c>
      <c r="AE24" s="104">
        <v>-5764</v>
      </c>
      <c r="AF24" s="40">
        <v>-3114</v>
      </c>
      <c r="AG24" s="40">
        <v>2419</v>
      </c>
      <c r="AH24" s="40">
        <v>-3163</v>
      </c>
      <c r="AI24" s="40">
        <v>1213</v>
      </c>
      <c r="AJ24" s="104">
        <v>-2645</v>
      </c>
      <c r="AK24" s="40">
        <v>-2011</v>
      </c>
      <c r="AL24" s="40">
        <v>1790</v>
      </c>
      <c r="AM24" s="262">
        <v>1411</v>
      </c>
      <c r="AN24" s="262">
        <v>-442</v>
      </c>
      <c r="AO24" s="104">
        <v>748</v>
      </c>
      <c r="AP24" s="262">
        <v>-93</v>
      </c>
      <c r="AQ24" s="262">
        <v>-301</v>
      </c>
      <c r="AR24" s="262">
        <v>407</v>
      </c>
      <c r="AS24" s="262">
        <v>-709</v>
      </c>
      <c r="AT24" s="104">
        <v>-696</v>
      </c>
      <c r="AU24" s="262">
        <v>-722</v>
      </c>
    </row>
    <row r="25" spans="1:47" ht="15" customHeight="1" x14ac:dyDescent="0.25">
      <c r="A25" s="10" t="s">
        <v>151</v>
      </c>
      <c r="B25" s="60">
        <f t="shared" ref="B25:Z25" si="17">SUM(B4,B5,B18)</f>
        <v>41007</v>
      </c>
      <c r="C25" s="60">
        <f t="shared" si="17"/>
        <v>11938</v>
      </c>
      <c r="D25" s="60">
        <f t="shared" si="17"/>
        <v>17500</v>
      </c>
      <c r="E25" s="60">
        <f t="shared" si="17"/>
        <v>66706</v>
      </c>
      <c r="F25" s="63">
        <f t="shared" si="17"/>
        <v>137150</v>
      </c>
      <c r="G25" s="60">
        <f t="shared" si="17"/>
        <v>18907.430706248</v>
      </c>
      <c r="H25" s="41">
        <f t="shared" si="17"/>
        <v>19274</v>
      </c>
      <c r="I25" s="41">
        <f t="shared" si="17"/>
        <v>43631</v>
      </c>
      <c r="J25" s="41">
        <f t="shared" si="17"/>
        <v>71658</v>
      </c>
      <c r="K25" s="53">
        <f t="shared" si="17"/>
        <v>153469</v>
      </c>
      <c r="L25" s="41">
        <f t="shared" si="17"/>
        <v>44238</v>
      </c>
      <c r="M25" s="41">
        <f t="shared" si="17"/>
        <v>60491</v>
      </c>
      <c r="N25" s="41">
        <f t="shared" si="17"/>
        <v>61727</v>
      </c>
      <c r="O25" s="41">
        <f t="shared" si="17"/>
        <v>79002</v>
      </c>
      <c r="P25" s="105">
        <f t="shared" si="17"/>
        <v>245458</v>
      </c>
      <c r="Q25" s="41">
        <f t="shared" si="17"/>
        <v>84527</v>
      </c>
      <c r="R25" s="41">
        <f t="shared" si="17"/>
        <v>40341</v>
      </c>
      <c r="S25" s="41">
        <f t="shared" si="17"/>
        <v>50256</v>
      </c>
      <c r="T25" s="41">
        <f t="shared" si="17"/>
        <v>85600</v>
      </c>
      <c r="U25" s="105">
        <f t="shared" si="17"/>
        <v>260726</v>
      </c>
      <c r="V25" s="41">
        <f t="shared" si="17"/>
        <v>67220</v>
      </c>
      <c r="W25" s="41">
        <f>SUM(W4,W5,W18)</f>
        <v>52964</v>
      </c>
      <c r="X25" s="41">
        <f t="shared" si="17"/>
        <v>43289</v>
      </c>
      <c r="Y25" s="41">
        <f t="shared" si="17"/>
        <v>59359</v>
      </c>
      <c r="Z25" s="105">
        <f t="shared" si="17"/>
        <v>222832</v>
      </c>
      <c r="AA25" s="41">
        <f t="shared" ref="AA25" si="18">SUM(AA4,AA5,AA18)</f>
        <v>56743</v>
      </c>
      <c r="AB25" s="41">
        <f>SUM(AB4,AB5,AB18)</f>
        <v>33377</v>
      </c>
      <c r="AC25" s="41">
        <f t="shared" ref="AC25:AF25" si="19">SUM(AC4,AC5,AC18)</f>
        <v>51156</v>
      </c>
      <c r="AD25" s="41">
        <f t="shared" si="19"/>
        <v>44080</v>
      </c>
      <c r="AE25" s="105">
        <f t="shared" si="19"/>
        <v>185356</v>
      </c>
      <c r="AF25" s="41">
        <f t="shared" si="19"/>
        <v>77362</v>
      </c>
      <c r="AG25" s="41">
        <f t="shared" ref="AG25:AK25" si="20">SUM(AG4,AG5,AG18)</f>
        <v>26360</v>
      </c>
      <c r="AH25" s="41">
        <f t="shared" si="20"/>
        <v>51179</v>
      </c>
      <c r="AI25" s="41">
        <f t="shared" si="20"/>
        <v>66012</v>
      </c>
      <c r="AJ25" s="105">
        <f t="shared" si="20"/>
        <v>220913</v>
      </c>
      <c r="AK25" s="41">
        <f t="shared" si="20"/>
        <v>74930</v>
      </c>
      <c r="AL25" s="41">
        <f>SUM(AL4,AL5,AL18)</f>
        <v>13972</v>
      </c>
      <c r="AM25" s="263">
        <f>SUM(AM4,AM5,AM18)</f>
        <v>41628</v>
      </c>
      <c r="AN25" s="263">
        <f>SUM(AN4,AN5,AN18)</f>
        <v>125455</v>
      </c>
      <c r="AO25" s="105">
        <f t="shared" ref="AO25" si="21">SUM(AO4,AO5,AO18)</f>
        <v>255985</v>
      </c>
      <c r="AP25" s="263">
        <f>SUM(AP4,AP5,AP18)</f>
        <v>41964</v>
      </c>
      <c r="AQ25" s="263">
        <f>SUM(AQ4,AQ5,AQ18)</f>
        <v>1328.0000000000036</v>
      </c>
      <c r="AR25" s="263">
        <f>SUM(AR4,AR5,AR18)</f>
        <v>19614</v>
      </c>
      <c r="AS25" s="263">
        <f>SUM(AS4,AS5,AS18)</f>
        <v>161339.76</v>
      </c>
      <c r="AT25" s="105">
        <f t="shared" ref="AT25" si="22">SUM(AT4,AT5,AT18)</f>
        <v>224246</v>
      </c>
      <c r="AU25" s="263">
        <f>SUM(AU4,AU5,AU18)</f>
        <v>14017</v>
      </c>
    </row>
    <row r="26" spans="1:47" ht="15" customHeight="1" x14ac:dyDescent="0.25">
      <c r="A26" s="5" t="s">
        <v>152</v>
      </c>
      <c r="B26" s="59">
        <v>-11528</v>
      </c>
      <c r="C26" s="59">
        <v>-29630</v>
      </c>
      <c r="D26" s="59">
        <v>-21514</v>
      </c>
      <c r="E26" s="59">
        <v>-12936</v>
      </c>
      <c r="F26" s="62">
        <v>-75607</v>
      </c>
      <c r="G26" s="59">
        <v>-13615</v>
      </c>
      <c r="H26" s="59">
        <v>-25564</v>
      </c>
      <c r="I26" s="59">
        <v>-15792</v>
      </c>
      <c r="J26" s="59">
        <v>-30163</v>
      </c>
      <c r="K26" s="62">
        <v>-85133</v>
      </c>
      <c r="L26" s="59">
        <v>-23267</v>
      </c>
      <c r="M26" s="59">
        <v>-30008</v>
      </c>
      <c r="N26" s="59">
        <v>-20999</v>
      </c>
      <c r="O26" s="59">
        <v>-47928</v>
      </c>
      <c r="P26" s="112">
        <v>-122203</v>
      </c>
      <c r="Q26" s="59">
        <v>-7413</v>
      </c>
      <c r="R26" s="59">
        <v>-18880</v>
      </c>
      <c r="S26" s="59">
        <v>-60627</v>
      </c>
      <c r="T26" s="59">
        <v>-30064</v>
      </c>
      <c r="U26" s="113">
        <f>SUM(Q26:T26)</f>
        <v>-116984</v>
      </c>
      <c r="V26" s="59">
        <v>-13292</v>
      </c>
      <c r="W26" s="59">
        <v>-28812</v>
      </c>
      <c r="X26" s="59">
        <v>-27239</v>
      </c>
      <c r="Y26" s="59">
        <v>-13373</v>
      </c>
      <c r="Z26" s="113">
        <f>SUM(V26:Y26)</f>
        <v>-82716</v>
      </c>
      <c r="AA26" s="59">
        <v>-11258</v>
      </c>
      <c r="AB26" s="59">
        <v>-29471</v>
      </c>
      <c r="AC26" s="59">
        <v>-16308</v>
      </c>
      <c r="AD26" s="59">
        <v>-10250</v>
      </c>
      <c r="AE26" s="113">
        <f>SUM(AA26:AD26)</f>
        <v>-67287</v>
      </c>
      <c r="AF26" s="59">
        <v>-11953</v>
      </c>
      <c r="AG26" s="59">
        <v>-15663</v>
      </c>
      <c r="AH26" s="59">
        <v>-16767</v>
      </c>
      <c r="AI26" s="59">
        <v>-10600</v>
      </c>
      <c r="AJ26" s="113">
        <f>SUM(AF26:AI26)</f>
        <v>-54983</v>
      </c>
      <c r="AK26" s="59">
        <v>-10857</v>
      </c>
      <c r="AL26" s="59">
        <v>-21937</v>
      </c>
      <c r="AM26" s="271">
        <v>-16161</v>
      </c>
      <c r="AN26" s="271">
        <v>-35841</v>
      </c>
      <c r="AO26" s="113">
        <f>SUM(AK26:AN26)</f>
        <v>-84796</v>
      </c>
      <c r="AP26" s="271">
        <v>-37195</v>
      </c>
      <c r="AQ26" s="271">
        <v>-24312</v>
      </c>
      <c r="AR26" s="271">
        <v>-16331</v>
      </c>
      <c r="AS26" s="271">
        <v>-14663</v>
      </c>
      <c r="AT26" s="113">
        <f>SUM(AP26:AS26)</f>
        <v>-92501</v>
      </c>
      <c r="AU26" s="271">
        <v>-13293</v>
      </c>
    </row>
    <row r="27" spans="1:47" ht="15" customHeight="1" x14ac:dyDescent="0.25">
      <c r="A27" s="5" t="s">
        <v>153</v>
      </c>
      <c r="B27" s="38">
        <v>-1334</v>
      </c>
      <c r="C27" s="38">
        <v>11282</v>
      </c>
      <c r="D27" s="38">
        <v>-2551</v>
      </c>
      <c r="E27" s="38">
        <v>-6269</v>
      </c>
      <c r="F27" s="49">
        <v>1128</v>
      </c>
      <c r="G27" s="38">
        <v>1507</v>
      </c>
      <c r="H27" s="38">
        <v>3178</v>
      </c>
      <c r="I27" s="38">
        <v>-4115</v>
      </c>
      <c r="J27" s="38">
        <v>7182</v>
      </c>
      <c r="K27" s="49">
        <v>7752</v>
      </c>
      <c r="L27" s="38">
        <v>-4939</v>
      </c>
      <c r="M27" s="38">
        <v>2953</v>
      </c>
      <c r="N27" s="38">
        <v>-6774</v>
      </c>
      <c r="O27" s="38">
        <v>22452</v>
      </c>
      <c r="P27" s="101">
        <v>13692</v>
      </c>
      <c r="Q27" s="38">
        <v>-25154</v>
      </c>
      <c r="R27" s="38">
        <v>1033</v>
      </c>
      <c r="S27" s="38">
        <v>30971</v>
      </c>
      <c r="T27" s="38">
        <v>-15344</v>
      </c>
      <c r="U27" s="100">
        <f>SUM(Q27:T27)</f>
        <v>-8494</v>
      </c>
      <c r="V27" s="38">
        <v>-10392</v>
      </c>
      <c r="W27" s="38">
        <v>-3980</v>
      </c>
      <c r="X27" s="38">
        <v>3295</v>
      </c>
      <c r="Y27" s="38">
        <v>-4147</v>
      </c>
      <c r="Z27" s="100">
        <f>SUM(V27:Y27)</f>
        <v>-15224</v>
      </c>
      <c r="AA27" s="38">
        <v>-479</v>
      </c>
      <c r="AB27" s="38">
        <v>10939</v>
      </c>
      <c r="AC27" s="38">
        <v>3410</v>
      </c>
      <c r="AD27" s="38">
        <v>-12052</v>
      </c>
      <c r="AE27" s="100">
        <f>SUM(AA27:AD27)</f>
        <v>1818</v>
      </c>
      <c r="AF27" s="38">
        <v>-1827</v>
      </c>
      <c r="AG27" s="38">
        <v>2535</v>
      </c>
      <c r="AH27" s="38">
        <v>810</v>
      </c>
      <c r="AI27" s="38">
        <v>455</v>
      </c>
      <c r="AJ27" s="100">
        <f>SUM(AF27:AI27)</f>
        <v>1973</v>
      </c>
      <c r="AK27" s="38">
        <v>5293</v>
      </c>
      <c r="AL27" s="38">
        <v>6485</v>
      </c>
      <c r="AM27" s="148">
        <v>-4146</v>
      </c>
      <c r="AN27" s="148">
        <v>21319</v>
      </c>
      <c r="AO27" s="100">
        <f>SUM(AK27:AN27)</f>
        <v>28951</v>
      </c>
      <c r="AP27" s="148">
        <v>3976</v>
      </c>
      <c r="AQ27" s="148">
        <v>-21207</v>
      </c>
      <c r="AR27" s="148">
        <v>482</v>
      </c>
      <c r="AS27" s="148">
        <v>-5061</v>
      </c>
      <c r="AT27" s="100">
        <f>SUM(AP27:AS27)</f>
        <v>-21810</v>
      </c>
      <c r="AU27" s="148">
        <v>69</v>
      </c>
    </row>
    <row r="28" spans="1:47" ht="15" hidden="1" customHeight="1" x14ac:dyDescent="0.25">
      <c r="A28" s="5" t="s">
        <v>154</v>
      </c>
      <c r="B28" s="38"/>
      <c r="C28" s="38"/>
      <c r="D28" s="38"/>
      <c r="E28" s="38"/>
      <c r="F28" s="49"/>
      <c r="G28" s="38"/>
      <c r="H28" s="38"/>
      <c r="I28" s="38"/>
      <c r="J28" s="38"/>
      <c r="K28" s="49"/>
      <c r="L28" s="38"/>
      <c r="M28" s="38"/>
      <c r="N28" s="38"/>
      <c r="O28" s="38"/>
      <c r="P28" s="101"/>
      <c r="Q28" s="38"/>
      <c r="R28" s="38"/>
      <c r="S28" s="38"/>
      <c r="T28" s="38"/>
      <c r="U28" s="100"/>
      <c r="V28" s="38"/>
      <c r="W28" s="38"/>
      <c r="X28" s="38"/>
      <c r="Y28" s="38"/>
      <c r="Z28" s="100"/>
      <c r="AA28" s="38"/>
      <c r="AB28" s="38"/>
      <c r="AC28" s="38"/>
      <c r="AD28" s="38"/>
      <c r="AE28" s="100"/>
      <c r="AF28" s="38"/>
      <c r="AG28" s="38"/>
      <c r="AH28" s="38"/>
      <c r="AI28" s="38"/>
      <c r="AJ28" s="100"/>
      <c r="AK28" s="38"/>
      <c r="AL28" s="38"/>
      <c r="AM28" s="148"/>
      <c r="AN28" s="148"/>
      <c r="AO28" s="100"/>
      <c r="AP28" s="148"/>
      <c r="AQ28" s="148"/>
      <c r="AR28" s="148"/>
      <c r="AS28" s="148"/>
      <c r="AT28" s="100"/>
      <c r="AU28" s="148"/>
    </row>
    <row r="29" spans="1:47" ht="15" customHeight="1" x14ac:dyDescent="0.25">
      <c r="A29" s="12" t="s">
        <v>155</v>
      </c>
      <c r="B29" s="38">
        <v>-17209</v>
      </c>
      <c r="C29" s="38">
        <v>-2867</v>
      </c>
      <c r="D29" s="38">
        <v>-476</v>
      </c>
      <c r="E29" s="38">
        <v>10</v>
      </c>
      <c r="F29" s="49">
        <v>-20542</v>
      </c>
      <c r="G29" s="38">
        <v>0</v>
      </c>
      <c r="H29" s="38">
        <v>-5074</v>
      </c>
      <c r="I29" s="38">
        <v>0</v>
      </c>
      <c r="J29" s="38">
        <v>-230467</v>
      </c>
      <c r="K29" s="49">
        <v>-235541</v>
      </c>
      <c r="L29" s="38">
        <v>0</v>
      </c>
      <c r="M29" s="38">
        <v>1089</v>
      </c>
      <c r="N29" s="38">
        <v>73</v>
      </c>
      <c r="O29" s="38">
        <v>-15</v>
      </c>
      <c r="P29" s="101">
        <v>1110</v>
      </c>
      <c r="Q29" s="38">
        <v>-10811</v>
      </c>
      <c r="R29" s="38">
        <v>0</v>
      </c>
      <c r="S29" s="38">
        <v>-38100</v>
      </c>
      <c r="T29" s="38">
        <v>-52269</v>
      </c>
      <c r="U29" s="100">
        <f>SUM(Q29:T29)</f>
        <v>-101180</v>
      </c>
      <c r="V29" s="38">
        <v>-5325</v>
      </c>
      <c r="W29" s="38">
        <v>637</v>
      </c>
      <c r="X29" s="38">
        <v>106</v>
      </c>
      <c r="Y29" s="38">
        <v>0</v>
      </c>
      <c r="Z29" s="100">
        <f>SUM(V29:Y29)</f>
        <v>-4582</v>
      </c>
      <c r="AA29" s="38">
        <v>0</v>
      </c>
      <c r="AB29" s="38">
        <v>0</v>
      </c>
      <c r="AC29" s="38">
        <v>-3</v>
      </c>
      <c r="AD29" s="38">
        <v>-1173</v>
      </c>
      <c r="AE29" s="100">
        <f>SUM(AA29:AD29)</f>
        <v>-1176</v>
      </c>
      <c r="AF29" s="38">
        <v>0</v>
      </c>
      <c r="AG29" s="38">
        <v>-9598</v>
      </c>
      <c r="AH29" s="38">
        <v>71</v>
      </c>
      <c r="AI29" s="38">
        <v>-892</v>
      </c>
      <c r="AJ29" s="100">
        <f>SUM(AF29:AI29)</f>
        <v>-10419</v>
      </c>
      <c r="AK29" s="38">
        <v>0</v>
      </c>
      <c r="AL29" s="38">
        <v>0</v>
      </c>
      <c r="AM29" s="148">
        <f>-48964-86489</f>
        <v>-135453</v>
      </c>
      <c r="AN29" s="148">
        <v>-2574</v>
      </c>
      <c r="AO29" s="100">
        <f>SUM(AK29:AN29)</f>
        <v>-138027</v>
      </c>
      <c r="AP29" s="148">
        <f>-7593+1093</f>
        <v>-6500</v>
      </c>
      <c r="AQ29" s="148">
        <v>-457</v>
      </c>
      <c r="AR29" s="148">
        <v>0</v>
      </c>
      <c r="AS29" s="148">
        <v>132</v>
      </c>
      <c r="AT29" s="100">
        <f>SUM(AP29:AS29)</f>
        <v>-6825</v>
      </c>
      <c r="AU29" s="148">
        <v>-527</v>
      </c>
    </row>
    <row r="30" spans="1:47" ht="15" customHeight="1" x14ac:dyDescent="0.25">
      <c r="A30" s="12" t="s">
        <v>156</v>
      </c>
      <c r="B30" s="38"/>
      <c r="C30" s="38"/>
      <c r="D30" s="38"/>
      <c r="E30" s="38"/>
      <c r="F30" s="49"/>
      <c r="G30" s="38"/>
      <c r="H30" s="38"/>
      <c r="I30" s="38"/>
      <c r="J30" s="38"/>
      <c r="K30" s="49"/>
      <c r="L30" s="38"/>
      <c r="M30" s="38"/>
      <c r="N30" s="38"/>
      <c r="O30" s="38"/>
      <c r="P30" s="101"/>
      <c r="Q30" s="38"/>
      <c r="R30" s="38"/>
      <c r="S30" s="38"/>
      <c r="T30" s="38"/>
      <c r="U30" s="100"/>
      <c r="V30" s="38"/>
      <c r="W30" s="38"/>
      <c r="X30" s="38">
        <v>0</v>
      </c>
      <c r="Y30" s="38">
        <v>0</v>
      </c>
      <c r="Z30" s="100">
        <v>0</v>
      </c>
      <c r="AA30" s="38">
        <v>0</v>
      </c>
      <c r="AB30" s="38">
        <v>0</v>
      </c>
      <c r="AC30" s="38">
        <v>0</v>
      </c>
      <c r="AD30" s="38">
        <v>0</v>
      </c>
      <c r="AE30" s="100">
        <v>0</v>
      </c>
      <c r="AF30" s="38">
        <v>0</v>
      </c>
      <c r="AG30" s="38">
        <v>0</v>
      </c>
      <c r="AH30" s="38">
        <v>0</v>
      </c>
      <c r="AI30" s="38">
        <v>0</v>
      </c>
      <c r="AJ30" s="100">
        <v>0</v>
      </c>
      <c r="AK30" s="38">
        <v>0</v>
      </c>
      <c r="AL30" s="38">
        <v>0</v>
      </c>
      <c r="AM30" s="148">
        <v>0</v>
      </c>
      <c r="AN30" s="148">
        <v>0</v>
      </c>
      <c r="AO30" s="100">
        <v>0</v>
      </c>
      <c r="AP30" s="148">
        <v>9625</v>
      </c>
      <c r="AQ30" s="148">
        <v>0</v>
      </c>
      <c r="AR30" s="148">
        <v>0</v>
      </c>
      <c r="AS30" s="148">
        <v>-778</v>
      </c>
      <c r="AT30" s="100">
        <f>SUM(AP30:AS30)</f>
        <v>8847</v>
      </c>
      <c r="AU30" s="148">
        <v>0</v>
      </c>
    </row>
    <row r="31" spans="1:47" ht="15" hidden="1" customHeight="1" x14ac:dyDescent="0.25">
      <c r="A31" s="244" t="s">
        <v>157</v>
      </c>
      <c r="B31" s="38"/>
      <c r="C31" s="38"/>
      <c r="D31" s="38"/>
      <c r="E31" s="38"/>
      <c r="F31" s="49"/>
      <c r="G31" s="38"/>
      <c r="H31" s="38"/>
      <c r="I31" s="38"/>
      <c r="J31" s="38"/>
      <c r="K31" s="49"/>
      <c r="L31" s="38"/>
      <c r="M31" s="38"/>
      <c r="N31" s="38"/>
      <c r="O31" s="38"/>
      <c r="P31" s="101"/>
      <c r="Q31" s="38"/>
      <c r="R31" s="38"/>
      <c r="S31" s="38"/>
      <c r="T31" s="38"/>
      <c r="U31" s="100"/>
      <c r="V31" s="38"/>
      <c r="W31" s="38"/>
      <c r="X31" s="38">
        <v>0</v>
      </c>
      <c r="Y31" s="38">
        <v>0</v>
      </c>
      <c r="Z31" s="100">
        <v>0</v>
      </c>
      <c r="AA31" s="38">
        <v>0</v>
      </c>
      <c r="AB31" s="38">
        <v>0</v>
      </c>
      <c r="AC31" s="38">
        <v>0</v>
      </c>
      <c r="AD31" s="38">
        <v>0</v>
      </c>
      <c r="AE31" s="100">
        <v>0</v>
      </c>
      <c r="AF31" s="38">
        <v>0</v>
      </c>
      <c r="AG31" s="38">
        <v>0</v>
      </c>
      <c r="AH31" s="38">
        <v>0</v>
      </c>
      <c r="AI31" s="38">
        <v>0</v>
      </c>
      <c r="AJ31" s="100">
        <v>0</v>
      </c>
      <c r="AK31" s="38">
        <v>0</v>
      </c>
      <c r="AL31" s="38">
        <v>0</v>
      </c>
      <c r="AM31" s="148">
        <v>0</v>
      </c>
      <c r="AN31" s="148">
        <v>0</v>
      </c>
      <c r="AO31" s="100">
        <v>0</v>
      </c>
      <c r="AP31" s="148">
        <v>0</v>
      </c>
      <c r="AQ31" s="148"/>
      <c r="AR31" s="148"/>
      <c r="AS31" s="148">
        <v>15857</v>
      </c>
      <c r="AT31" s="100">
        <v>0</v>
      </c>
      <c r="AU31" s="148"/>
    </row>
    <row r="32" spans="1:47" ht="15" customHeight="1" x14ac:dyDescent="0.25">
      <c r="A32" s="12" t="s">
        <v>158</v>
      </c>
      <c r="B32" s="40">
        <v>-3751</v>
      </c>
      <c r="C32" s="40">
        <v>-1492</v>
      </c>
      <c r="D32" s="40">
        <v>-1049</v>
      </c>
      <c r="E32" s="40">
        <v>-320</v>
      </c>
      <c r="F32" s="52">
        <v>-6612</v>
      </c>
      <c r="G32" s="40">
        <v>781</v>
      </c>
      <c r="H32" s="40">
        <v>-207</v>
      </c>
      <c r="I32" s="40">
        <v>-377</v>
      </c>
      <c r="J32" s="40">
        <v>-38</v>
      </c>
      <c r="K32" s="52">
        <v>159</v>
      </c>
      <c r="L32" s="40">
        <v>-431</v>
      </c>
      <c r="M32" s="40">
        <v>1668</v>
      </c>
      <c r="N32" s="40">
        <v>-157</v>
      </c>
      <c r="O32" s="40">
        <v>31</v>
      </c>
      <c r="P32" s="104">
        <v>1148</v>
      </c>
      <c r="Q32" s="40">
        <v>-112</v>
      </c>
      <c r="R32" s="40">
        <v>154</v>
      </c>
      <c r="S32" s="40">
        <v>-45</v>
      </c>
      <c r="T32" s="40">
        <v>-56</v>
      </c>
      <c r="U32" s="114">
        <f>SUM(Q32:T32)</f>
        <v>-59</v>
      </c>
      <c r="V32" s="40">
        <v>-32</v>
      </c>
      <c r="W32" s="40">
        <v>-1152</v>
      </c>
      <c r="X32" s="40">
        <v>-165</v>
      </c>
      <c r="Y32" s="40">
        <v>-17</v>
      </c>
      <c r="Z32" s="114">
        <f>SUM(V32:Y32)</f>
        <v>-1366</v>
      </c>
      <c r="AA32" s="40">
        <v>889</v>
      </c>
      <c r="AB32" s="40">
        <v>-21238</v>
      </c>
      <c r="AC32" s="40">
        <v>-280</v>
      </c>
      <c r="AD32" s="40">
        <v>-13819</v>
      </c>
      <c r="AE32" s="100">
        <f>SUM(AA32:AD32)</f>
        <v>-34448</v>
      </c>
      <c r="AF32" s="40">
        <v>-3252</v>
      </c>
      <c r="AG32" s="40">
        <v>-17056</v>
      </c>
      <c r="AH32" s="40">
        <v>6505</v>
      </c>
      <c r="AI32" s="40">
        <v>865</v>
      </c>
      <c r="AJ32" s="100">
        <f>SUM(AF32:AI32)</f>
        <v>-12938</v>
      </c>
      <c r="AK32" s="40">
        <v>22489</v>
      </c>
      <c r="AL32" s="40">
        <v>21822</v>
      </c>
      <c r="AM32" s="262">
        <v>-1259</v>
      </c>
      <c r="AN32" s="262">
        <v>-15299</v>
      </c>
      <c r="AO32" s="100">
        <f>SUM(AK32:AN32)</f>
        <v>27753</v>
      </c>
      <c r="AP32" s="262">
        <v>-6008</v>
      </c>
      <c r="AQ32" s="262">
        <v>-6259</v>
      </c>
      <c r="AR32" s="262">
        <v>-13</v>
      </c>
      <c r="AS32" s="262">
        <v>15857</v>
      </c>
      <c r="AT32" s="100">
        <f>SUM(AP32:AS32)</f>
        <v>3577</v>
      </c>
      <c r="AU32" s="262">
        <v>-148</v>
      </c>
    </row>
    <row r="33" spans="1:49" ht="15" customHeight="1" x14ac:dyDescent="0.25">
      <c r="A33" s="10" t="s">
        <v>159</v>
      </c>
      <c r="B33" s="41">
        <f t="shared" ref="B33:Y33" si="23">SUM(B26:B32)</f>
        <v>-33822</v>
      </c>
      <c r="C33" s="41">
        <f t="shared" si="23"/>
        <v>-22707</v>
      </c>
      <c r="D33" s="41">
        <f t="shared" si="23"/>
        <v>-25590</v>
      </c>
      <c r="E33" s="41">
        <f t="shared" si="23"/>
        <v>-19515</v>
      </c>
      <c r="F33" s="53">
        <f t="shared" si="23"/>
        <v>-101633</v>
      </c>
      <c r="G33" s="41">
        <f t="shared" si="23"/>
        <v>-11327</v>
      </c>
      <c r="H33" s="41">
        <f t="shared" si="23"/>
        <v>-27667</v>
      </c>
      <c r="I33" s="41">
        <f t="shared" si="23"/>
        <v>-20284</v>
      </c>
      <c r="J33" s="41">
        <f t="shared" si="23"/>
        <v>-253486</v>
      </c>
      <c r="K33" s="53">
        <f t="shared" si="23"/>
        <v>-312763</v>
      </c>
      <c r="L33" s="41">
        <f t="shared" si="23"/>
        <v>-28637</v>
      </c>
      <c r="M33" s="41">
        <f t="shared" si="23"/>
        <v>-24298</v>
      </c>
      <c r="N33" s="41">
        <f t="shared" si="23"/>
        <v>-27857</v>
      </c>
      <c r="O33" s="41">
        <f t="shared" si="23"/>
        <v>-25460</v>
      </c>
      <c r="P33" s="105">
        <f t="shared" si="23"/>
        <v>-106253</v>
      </c>
      <c r="Q33" s="41">
        <f t="shared" si="23"/>
        <v>-43490</v>
      </c>
      <c r="R33" s="41">
        <f t="shared" si="23"/>
        <v>-17693</v>
      </c>
      <c r="S33" s="41">
        <f t="shared" si="23"/>
        <v>-67801</v>
      </c>
      <c r="T33" s="41">
        <f t="shared" si="23"/>
        <v>-97733</v>
      </c>
      <c r="U33" s="105">
        <f t="shared" si="23"/>
        <v>-226717</v>
      </c>
      <c r="V33" s="41">
        <f t="shared" si="23"/>
        <v>-29041</v>
      </c>
      <c r="W33" s="41">
        <f t="shared" si="23"/>
        <v>-33307</v>
      </c>
      <c r="X33" s="41">
        <f t="shared" si="23"/>
        <v>-24003</v>
      </c>
      <c r="Y33" s="41">
        <f t="shared" si="23"/>
        <v>-17537</v>
      </c>
      <c r="Z33" s="105">
        <f t="shared" ref="Z33:AD33" si="24">SUM(Z26:Z32)</f>
        <v>-103888</v>
      </c>
      <c r="AA33" s="41">
        <f t="shared" si="24"/>
        <v>-10848</v>
      </c>
      <c r="AB33" s="41">
        <f t="shared" si="24"/>
        <v>-39770</v>
      </c>
      <c r="AC33" s="41">
        <f t="shared" si="24"/>
        <v>-13181</v>
      </c>
      <c r="AD33" s="41">
        <f t="shared" si="24"/>
        <v>-37294</v>
      </c>
      <c r="AE33" s="105">
        <f>SUM(AE26:AE32)</f>
        <v>-101093</v>
      </c>
      <c r="AF33" s="41">
        <f t="shared" ref="AF33:AI33" si="25">SUM(AF26:AF32)</f>
        <v>-17032</v>
      </c>
      <c r="AG33" s="41">
        <f t="shared" si="25"/>
        <v>-39782</v>
      </c>
      <c r="AH33" s="41">
        <f t="shared" si="25"/>
        <v>-9381</v>
      </c>
      <c r="AI33" s="41">
        <f t="shared" si="25"/>
        <v>-10172</v>
      </c>
      <c r="AJ33" s="105">
        <f>SUM(AJ26:AJ32)</f>
        <v>-76367</v>
      </c>
      <c r="AK33" s="41">
        <f t="shared" ref="AK33:AN33" si="26">SUM(AK26:AK32)</f>
        <v>16925</v>
      </c>
      <c r="AL33" s="41">
        <f t="shared" si="26"/>
        <v>6370</v>
      </c>
      <c r="AM33" s="263">
        <f t="shared" si="26"/>
        <v>-157019</v>
      </c>
      <c r="AN33" s="263">
        <f t="shared" si="26"/>
        <v>-32395</v>
      </c>
      <c r="AO33" s="105">
        <f>SUM(AO26:AO32)</f>
        <v>-166119</v>
      </c>
      <c r="AP33" s="263">
        <f>SUM(AP26:AP32)</f>
        <v>-36102</v>
      </c>
      <c r="AQ33" s="263">
        <f t="shared" ref="AQ33:AR33" si="27">SUM(AQ26:AQ32)</f>
        <v>-52235</v>
      </c>
      <c r="AR33" s="263">
        <f t="shared" si="27"/>
        <v>-15862</v>
      </c>
      <c r="AS33" s="263">
        <f>AS26+AS27+AS29+AS30+AS32</f>
        <v>-4513</v>
      </c>
      <c r="AT33" s="105">
        <f>SUM(AT26:AT32)</f>
        <v>-108712</v>
      </c>
      <c r="AU33" s="263">
        <f>SUM(AU26:AU32)</f>
        <v>-13899</v>
      </c>
    </row>
    <row r="34" spans="1:49" ht="15" customHeight="1" x14ac:dyDescent="0.25">
      <c r="A34" s="5" t="s">
        <v>160</v>
      </c>
      <c r="B34" s="38">
        <v>827</v>
      </c>
      <c r="C34" s="38">
        <v>1567</v>
      </c>
      <c r="D34" s="38">
        <v>790</v>
      </c>
      <c r="E34" s="38">
        <v>788</v>
      </c>
      <c r="F34" s="49">
        <v>4023</v>
      </c>
      <c r="G34" s="38">
        <v>764</v>
      </c>
      <c r="H34" s="38">
        <v>2295</v>
      </c>
      <c r="I34" s="38">
        <v>739</v>
      </c>
      <c r="J34" s="38">
        <v>80224</v>
      </c>
      <c r="K34" s="49">
        <v>84022</v>
      </c>
      <c r="L34" s="38">
        <v>0</v>
      </c>
      <c r="M34" s="38">
        <v>1454</v>
      </c>
      <c r="N34" s="38">
        <v>2220</v>
      </c>
      <c r="O34" s="38">
        <v>26</v>
      </c>
      <c r="P34" s="101">
        <v>3700</v>
      </c>
      <c r="Q34" s="38">
        <v>0</v>
      </c>
      <c r="R34" s="38">
        <v>0</v>
      </c>
      <c r="S34" s="38">
        <v>0</v>
      </c>
      <c r="T34" s="38">
        <v>0</v>
      </c>
      <c r="U34" s="101">
        <f>SUM(Q34:T34)</f>
        <v>0</v>
      </c>
      <c r="V34" s="38">
        <v>0</v>
      </c>
      <c r="W34" s="38">
        <v>0</v>
      </c>
      <c r="X34" s="38">
        <v>0</v>
      </c>
      <c r="Y34" s="38">
        <v>0</v>
      </c>
      <c r="Z34" s="101">
        <f>SUM(V34:Y34)</f>
        <v>0</v>
      </c>
      <c r="AA34" s="38">
        <v>0</v>
      </c>
      <c r="AB34" s="38">
        <v>154310</v>
      </c>
      <c r="AC34" s="38">
        <v>3193</v>
      </c>
      <c r="AD34" s="38">
        <v>-4315</v>
      </c>
      <c r="AE34" s="100">
        <f>SUM(AA34:AD34)</f>
        <v>153188</v>
      </c>
      <c r="AF34" s="38">
        <v>0</v>
      </c>
      <c r="AG34" s="38">
        <v>0</v>
      </c>
      <c r="AH34" s="144" t="s">
        <v>161</v>
      </c>
      <c r="AI34" s="144" t="s">
        <v>161</v>
      </c>
      <c r="AJ34" s="100">
        <f>SUM(AF34:AI34)</f>
        <v>0</v>
      </c>
      <c r="AK34" s="144">
        <v>78513</v>
      </c>
      <c r="AL34" s="38">
        <v>0</v>
      </c>
      <c r="AM34" s="273">
        <v>0</v>
      </c>
      <c r="AN34" s="273">
        <v>0</v>
      </c>
      <c r="AO34" s="100">
        <f>SUM(AK34:AN34)</f>
        <v>78513</v>
      </c>
      <c r="AP34" s="273">
        <v>0</v>
      </c>
      <c r="AQ34" s="148">
        <v>0</v>
      </c>
      <c r="AR34" s="273">
        <v>0</v>
      </c>
      <c r="AS34" s="273">
        <v>0</v>
      </c>
      <c r="AT34" s="100">
        <f>SUM(AP34:AS34)</f>
        <v>0</v>
      </c>
      <c r="AU34" s="273">
        <v>0</v>
      </c>
    </row>
    <row r="35" spans="1:49" ht="15" customHeight="1" x14ac:dyDescent="0.25">
      <c r="A35" s="5" t="s">
        <v>162</v>
      </c>
      <c r="B35" s="38">
        <v>-3277</v>
      </c>
      <c r="C35" s="38">
        <v>-1369</v>
      </c>
      <c r="D35" s="38">
        <v>-1484</v>
      </c>
      <c r="E35" s="38">
        <v>-2797</v>
      </c>
      <c r="F35" s="49">
        <v>-8980</v>
      </c>
      <c r="G35" s="38">
        <f>-1505.360435+2</f>
        <v>-1503.3604350000001</v>
      </c>
      <c r="H35" s="38">
        <v>-3944</v>
      </c>
      <c r="I35" s="38">
        <v>32</v>
      </c>
      <c r="J35" s="38">
        <v>-7889</v>
      </c>
      <c r="K35" s="49">
        <v>-13305</v>
      </c>
      <c r="L35" s="38">
        <v>-2053</v>
      </c>
      <c r="M35" s="38">
        <v>-77168</v>
      </c>
      <c r="N35" s="38">
        <v>-4672</v>
      </c>
      <c r="O35" s="38">
        <v>-5838</v>
      </c>
      <c r="P35" s="101">
        <v>-89731</v>
      </c>
      <c r="Q35" s="38">
        <v>-238</v>
      </c>
      <c r="R35" s="38">
        <v>-235</v>
      </c>
      <c r="S35" s="38">
        <v>-248</v>
      </c>
      <c r="T35" s="38">
        <v>-243</v>
      </c>
      <c r="U35" s="100">
        <f t="shared" ref="U35:U38" si="28">SUM(Q35:T35)</f>
        <v>-964</v>
      </c>
      <c r="V35" s="38">
        <v>-172</v>
      </c>
      <c r="W35" s="38">
        <v>-167</v>
      </c>
      <c r="X35" s="38">
        <v>-167</v>
      </c>
      <c r="Y35" s="38">
        <v>-516</v>
      </c>
      <c r="Z35" s="100">
        <f t="shared" ref="Z35:Z38" si="29">SUM(V35:Y35)</f>
        <v>-1022</v>
      </c>
      <c r="AA35" s="38">
        <v>-170</v>
      </c>
      <c r="AB35" s="38">
        <v>1</v>
      </c>
      <c r="AC35" s="38">
        <v>-12</v>
      </c>
      <c r="AD35" s="38">
        <v>-167163</v>
      </c>
      <c r="AE35" s="100">
        <f t="shared" ref="AE35:AE38" si="30">SUM(AA35:AD35)</f>
        <v>-167344</v>
      </c>
      <c r="AF35" s="38">
        <v>-182</v>
      </c>
      <c r="AG35" s="38">
        <v>-1090</v>
      </c>
      <c r="AH35" s="38">
        <v>10</v>
      </c>
      <c r="AI35" s="38">
        <v>13</v>
      </c>
      <c r="AJ35" s="100">
        <f t="shared" ref="AJ35:AJ36" si="31">SUM(AF35:AI35)</f>
        <v>-1249</v>
      </c>
      <c r="AK35" s="38">
        <v>-78513</v>
      </c>
      <c r="AL35" s="38">
        <v>0</v>
      </c>
      <c r="AM35" s="148">
        <v>0</v>
      </c>
      <c r="AN35" s="148">
        <v>0</v>
      </c>
      <c r="AO35" s="100">
        <f t="shared" ref="AO35:AO36" si="32">SUM(AK35:AN35)</f>
        <v>-78513</v>
      </c>
      <c r="AP35" s="148">
        <v>0</v>
      </c>
      <c r="AQ35" s="148">
        <v>0</v>
      </c>
      <c r="AR35" s="148">
        <v>0</v>
      </c>
      <c r="AS35" s="148">
        <v>0</v>
      </c>
      <c r="AT35" s="100">
        <f t="shared" ref="AT35:AT36" si="33">SUM(AP35:AS35)</f>
        <v>0</v>
      </c>
      <c r="AU35" s="148">
        <v>0</v>
      </c>
    </row>
    <row r="36" spans="1:49" ht="15" customHeight="1" x14ac:dyDescent="0.25">
      <c r="A36" s="5" t="s">
        <v>163</v>
      </c>
      <c r="B36" s="38">
        <v>2771</v>
      </c>
      <c r="C36" s="38">
        <v>3664</v>
      </c>
      <c r="D36" s="38">
        <v>3575</v>
      </c>
      <c r="E36" s="38">
        <v>3758</v>
      </c>
      <c r="F36" s="49">
        <v>13768</v>
      </c>
      <c r="G36" s="38">
        <v>5476</v>
      </c>
      <c r="H36" s="38">
        <v>10106</v>
      </c>
      <c r="I36" s="38">
        <v>1600</v>
      </c>
      <c r="J36" s="38">
        <v>2893</v>
      </c>
      <c r="K36" s="49">
        <v>20075</v>
      </c>
      <c r="L36" s="38">
        <v>12937</v>
      </c>
      <c r="M36" s="38">
        <v>11517</v>
      </c>
      <c r="N36" s="38">
        <v>5164</v>
      </c>
      <c r="O36" s="38">
        <v>2342</v>
      </c>
      <c r="P36" s="101">
        <v>31961</v>
      </c>
      <c r="Q36" s="38">
        <v>166</v>
      </c>
      <c r="R36" s="38">
        <v>396</v>
      </c>
      <c r="S36" s="38">
        <v>212</v>
      </c>
      <c r="T36" s="38">
        <v>699</v>
      </c>
      <c r="U36" s="100">
        <f t="shared" si="28"/>
        <v>1473</v>
      </c>
      <c r="V36" s="38">
        <v>11</v>
      </c>
      <c r="W36" s="38">
        <v>-98</v>
      </c>
      <c r="X36" s="38">
        <v>725</v>
      </c>
      <c r="Y36" s="38">
        <v>1053</v>
      </c>
      <c r="Z36" s="100">
        <f t="shared" si="29"/>
        <v>1691</v>
      </c>
      <c r="AA36" s="38">
        <v>4</v>
      </c>
      <c r="AB36" s="38">
        <v>-20</v>
      </c>
      <c r="AC36" s="38">
        <v>117</v>
      </c>
      <c r="AD36" s="38">
        <v>1626</v>
      </c>
      <c r="AE36" s="100">
        <f t="shared" si="30"/>
        <v>1727</v>
      </c>
      <c r="AF36" s="38">
        <v>2074</v>
      </c>
      <c r="AG36" s="38">
        <v>7501</v>
      </c>
      <c r="AH36" s="38">
        <v>12113</v>
      </c>
      <c r="AI36" s="38">
        <v>3508</v>
      </c>
      <c r="AJ36" s="100">
        <f t="shared" si="31"/>
        <v>25196</v>
      </c>
      <c r="AK36" s="38">
        <v>271</v>
      </c>
      <c r="AL36" s="38">
        <v>80</v>
      </c>
      <c r="AM36" s="148">
        <v>266</v>
      </c>
      <c r="AN36" s="148">
        <v>411</v>
      </c>
      <c r="AO36" s="100">
        <f t="shared" si="32"/>
        <v>1028</v>
      </c>
      <c r="AP36" s="148">
        <v>1266</v>
      </c>
      <c r="AQ36" s="148">
        <v>431</v>
      </c>
      <c r="AR36" s="148">
        <v>251</v>
      </c>
      <c r="AS36" s="148">
        <v>-3</v>
      </c>
      <c r="AT36" s="100">
        <f t="shared" si="33"/>
        <v>1945</v>
      </c>
      <c r="AU36" s="148">
        <v>395</v>
      </c>
    </row>
    <row r="37" spans="1:49" ht="15" customHeight="1" x14ac:dyDescent="0.25">
      <c r="A37" s="5" t="s">
        <v>164</v>
      </c>
      <c r="B37" s="38">
        <v>-1000</v>
      </c>
      <c r="C37" s="38">
        <v>0</v>
      </c>
      <c r="D37" s="38">
        <v>0</v>
      </c>
      <c r="E37" s="38">
        <v>0</v>
      </c>
      <c r="F37" s="49">
        <v>-1000</v>
      </c>
      <c r="G37" s="38">
        <v>0</v>
      </c>
      <c r="H37" s="38">
        <v>-171</v>
      </c>
      <c r="I37" s="38">
        <v>-25</v>
      </c>
      <c r="J37" s="38">
        <v>-26</v>
      </c>
      <c r="K37" s="49">
        <v>-222</v>
      </c>
      <c r="L37" s="38">
        <v>119</v>
      </c>
      <c r="M37" s="38">
        <v>145</v>
      </c>
      <c r="N37" s="38">
        <v>15082</v>
      </c>
      <c r="O37" s="38">
        <v>9256</v>
      </c>
      <c r="P37" s="101">
        <v>24602</v>
      </c>
      <c r="Q37" s="38">
        <f>-312+17157</f>
        <v>16845</v>
      </c>
      <c r="R37" s="38">
        <v>-35</v>
      </c>
      <c r="S37" s="38">
        <v>-136</v>
      </c>
      <c r="T37" s="38">
        <v>141</v>
      </c>
      <c r="U37" s="100">
        <f t="shared" si="28"/>
        <v>16815</v>
      </c>
      <c r="V37" s="38">
        <v>-30</v>
      </c>
      <c r="W37" s="38">
        <v>-209</v>
      </c>
      <c r="X37" s="38">
        <v>-928</v>
      </c>
      <c r="Y37" s="38">
        <v>-25</v>
      </c>
      <c r="Z37" s="100">
        <f t="shared" si="29"/>
        <v>-1192</v>
      </c>
      <c r="AA37" s="38">
        <v>-354</v>
      </c>
      <c r="AB37" s="38">
        <v>-573</v>
      </c>
      <c r="AC37" s="38">
        <v>-1083</v>
      </c>
      <c r="AD37" s="38">
        <v>347</v>
      </c>
      <c r="AE37" s="100">
        <f t="shared" si="30"/>
        <v>-1663</v>
      </c>
      <c r="AF37" s="38">
        <v>-378</v>
      </c>
      <c r="AG37" s="38">
        <v>-370</v>
      </c>
      <c r="AH37" s="38">
        <v>-2888</v>
      </c>
      <c r="AI37" s="38">
        <v>-401</v>
      </c>
      <c r="AJ37" s="100">
        <f>SUM(AF37:AI37)</f>
        <v>-4037</v>
      </c>
      <c r="AK37" s="38"/>
      <c r="AL37" s="38"/>
      <c r="AM37" s="148">
        <v>107</v>
      </c>
      <c r="AN37" s="148">
        <v>-372</v>
      </c>
      <c r="AO37" s="100">
        <f>SUM(AK37:AN37)</f>
        <v>-265</v>
      </c>
      <c r="AP37" s="148">
        <v>0</v>
      </c>
      <c r="AQ37" s="148">
        <v>0</v>
      </c>
      <c r="AR37" s="148">
        <v>0</v>
      </c>
      <c r="AS37" s="148">
        <v>235</v>
      </c>
      <c r="AT37" s="100">
        <f>SUM(AP37:AS37)</f>
        <v>235</v>
      </c>
      <c r="AU37" s="148">
        <v>0</v>
      </c>
    </row>
    <row r="38" spans="1:49" ht="15" customHeight="1" x14ac:dyDescent="0.25">
      <c r="A38" s="5" t="s">
        <v>165</v>
      </c>
      <c r="B38" s="38"/>
      <c r="C38" s="38"/>
      <c r="D38" s="38"/>
      <c r="E38" s="38"/>
      <c r="F38" s="49"/>
      <c r="G38" s="38"/>
      <c r="H38" s="38"/>
      <c r="I38" s="38"/>
      <c r="J38" s="38"/>
      <c r="K38" s="49"/>
      <c r="L38" s="38"/>
      <c r="M38" s="38"/>
      <c r="N38" s="38"/>
      <c r="O38" s="38"/>
      <c r="P38" s="101"/>
      <c r="Q38" s="38"/>
      <c r="R38" s="38"/>
      <c r="S38" s="38"/>
      <c r="T38" s="38">
        <v>-80000</v>
      </c>
      <c r="U38" s="100">
        <f t="shared" si="28"/>
        <v>-80000</v>
      </c>
      <c r="V38" s="38">
        <v>0</v>
      </c>
      <c r="W38" s="38">
        <v>0</v>
      </c>
      <c r="X38" s="38">
        <v>-17603</v>
      </c>
      <c r="Y38" s="38">
        <v>-40985</v>
      </c>
      <c r="Z38" s="100">
        <f t="shared" si="29"/>
        <v>-58588</v>
      </c>
      <c r="AA38" s="38">
        <v>-18241</v>
      </c>
      <c r="AB38" s="38">
        <v>-14860</v>
      </c>
      <c r="AC38" s="38">
        <v>-10554</v>
      </c>
      <c r="AD38" s="38">
        <v>0</v>
      </c>
      <c r="AE38" s="100">
        <f t="shared" si="30"/>
        <v>-43655</v>
      </c>
      <c r="AF38" s="38">
        <v>-4930</v>
      </c>
      <c r="AG38" s="38">
        <v>-29999</v>
      </c>
      <c r="AH38" s="38">
        <v>-37682</v>
      </c>
      <c r="AI38" s="38">
        <v>-27416</v>
      </c>
      <c r="AJ38" s="100">
        <f>SUM(AF38:AI38)</f>
        <v>-100027</v>
      </c>
      <c r="AK38" s="38">
        <v>-8304</v>
      </c>
      <c r="AL38" s="38">
        <v>-21030</v>
      </c>
      <c r="AM38" s="148">
        <v>-29828</v>
      </c>
      <c r="AN38" s="148">
        <v>-76523</v>
      </c>
      <c r="AO38" s="100">
        <f>SUM(AK38:AN38)</f>
        <v>-135685</v>
      </c>
      <c r="AP38" s="148">
        <v>-51030</v>
      </c>
      <c r="AQ38" s="148">
        <v>-23836</v>
      </c>
      <c r="AR38" s="148">
        <v>-28488</v>
      </c>
      <c r="AS38" s="148">
        <v>-22135</v>
      </c>
      <c r="AT38" s="100">
        <f>SUM(AP38:AS38)</f>
        <v>-125489</v>
      </c>
      <c r="AU38" s="148">
        <v>-62143</v>
      </c>
    </row>
    <row r="39" spans="1:49" ht="15" customHeight="1" x14ac:dyDescent="0.25">
      <c r="A39" s="5" t="s">
        <v>166</v>
      </c>
      <c r="B39" s="38"/>
      <c r="C39" s="38"/>
      <c r="D39" s="38"/>
      <c r="E39" s="38"/>
      <c r="F39" s="49"/>
      <c r="G39" s="38"/>
      <c r="H39" s="38"/>
      <c r="I39" s="38"/>
      <c r="J39" s="38"/>
      <c r="K39" s="49"/>
      <c r="L39" s="38"/>
      <c r="M39" s="38"/>
      <c r="N39" s="38"/>
      <c r="O39" s="38"/>
      <c r="P39" s="101"/>
      <c r="Q39" s="38"/>
      <c r="R39" s="38"/>
      <c r="S39" s="38"/>
      <c r="T39" s="38"/>
      <c r="U39" s="100"/>
      <c r="V39" s="38"/>
      <c r="W39" s="38"/>
      <c r="X39" s="38"/>
      <c r="Y39" s="38"/>
      <c r="Z39" s="100"/>
      <c r="AA39" s="38"/>
      <c r="AB39" s="38"/>
      <c r="AC39" s="38"/>
      <c r="AD39" s="38"/>
      <c r="AE39" s="100"/>
      <c r="AF39" s="38"/>
      <c r="AG39" s="38"/>
      <c r="AH39" s="38"/>
      <c r="AI39" s="38"/>
      <c r="AJ39" s="100"/>
      <c r="AK39" s="38"/>
      <c r="AL39" s="38"/>
      <c r="AM39" s="148"/>
      <c r="AN39" s="148"/>
      <c r="AO39" s="100"/>
      <c r="AP39" s="148">
        <v>-22025</v>
      </c>
      <c r="AQ39" s="148">
        <v>0</v>
      </c>
      <c r="AR39" s="148">
        <v>0</v>
      </c>
      <c r="AS39" s="148">
        <v>0</v>
      </c>
      <c r="AT39" s="100">
        <f>SUM(AP39:AS39)</f>
        <v>-22025</v>
      </c>
      <c r="AU39" s="148">
        <v>0</v>
      </c>
    </row>
    <row r="40" spans="1:49" ht="15" customHeight="1" x14ac:dyDescent="0.25">
      <c r="A40" s="5" t="s">
        <v>167</v>
      </c>
      <c r="B40" s="38"/>
      <c r="C40" s="38"/>
      <c r="D40" s="38"/>
      <c r="E40" s="38"/>
      <c r="F40" s="49"/>
      <c r="G40" s="38"/>
      <c r="H40" s="38"/>
      <c r="I40" s="38"/>
      <c r="J40" s="38"/>
      <c r="K40" s="49"/>
      <c r="L40" s="38"/>
      <c r="M40" s="38"/>
      <c r="N40" s="38"/>
      <c r="O40" s="38"/>
      <c r="P40" s="101"/>
      <c r="Q40" s="38"/>
      <c r="R40" s="38"/>
      <c r="S40" s="38"/>
      <c r="T40" s="38"/>
      <c r="U40" s="100"/>
      <c r="V40" s="38"/>
      <c r="W40" s="38"/>
      <c r="X40" s="38"/>
      <c r="Y40" s="38"/>
      <c r="Z40" s="100"/>
      <c r="AA40" s="38"/>
      <c r="AB40" s="38"/>
      <c r="AC40" s="38"/>
      <c r="AD40" s="38"/>
      <c r="AE40" s="100"/>
      <c r="AF40" s="38"/>
      <c r="AG40" s="38"/>
      <c r="AH40" s="38"/>
      <c r="AI40" s="38"/>
      <c r="AJ40" s="100"/>
      <c r="AK40" s="38">
        <v>6666</v>
      </c>
      <c r="AL40" s="38">
        <v>7808</v>
      </c>
      <c r="AM40" s="148">
        <f>7780-12</f>
        <v>7768</v>
      </c>
      <c r="AN40" s="148">
        <v>-364</v>
      </c>
      <c r="AO40" s="100">
        <f>SUM(AK40:AN40)</f>
        <v>21878</v>
      </c>
      <c r="AP40" s="148">
        <v>-428</v>
      </c>
      <c r="AQ40" s="148">
        <v>-495</v>
      </c>
      <c r="AR40" s="148">
        <v>-504</v>
      </c>
      <c r="AS40" s="148">
        <v>-493</v>
      </c>
      <c r="AT40" s="100">
        <f>SUM(AP40:AS40)</f>
        <v>-1920</v>
      </c>
      <c r="AU40" s="148">
        <v>-432</v>
      </c>
    </row>
    <row r="41" spans="1:49" ht="15" customHeight="1" x14ac:dyDescent="0.25">
      <c r="A41" s="10" t="s">
        <v>168</v>
      </c>
      <c r="B41" s="41">
        <f t="shared" ref="B41:U41" si="34">SUM(B34:B38)</f>
        <v>-679</v>
      </c>
      <c r="C41" s="41">
        <f t="shared" si="34"/>
        <v>3862</v>
      </c>
      <c r="D41" s="41">
        <f t="shared" si="34"/>
        <v>2881</v>
      </c>
      <c r="E41" s="41">
        <f t="shared" si="34"/>
        <v>1749</v>
      </c>
      <c r="F41" s="53">
        <f t="shared" si="34"/>
        <v>7811</v>
      </c>
      <c r="G41" s="41">
        <f t="shared" si="34"/>
        <v>4736.6395649999995</v>
      </c>
      <c r="H41" s="41">
        <f t="shared" si="34"/>
        <v>8286</v>
      </c>
      <c r="I41" s="41">
        <f t="shared" si="34"/>
        <v>2346</v>
      </c>
      <c r="J41" s="41">
        <f t="shared" si="34"/>
        <v>75202</v>
      </c>
      <c r="K41" s="53">
        <f t="shared" si="34"/>
        <v>90570</v>
      </c>
      <c r="L41" s="41">
        <f t="shared" si="34"/>
        <v>11003</v>
      </c>
      <c r="M41" s="41">
        <f t="shared" si="34"/>
        <v>-64052</v>
      </c>
      <c r="N41" s="41">
        <f t="shared" si="34"/>
        <v>17794</v>
      </c>
      <c r="O41" s="41">
        <f t="shared" si="34"/>
        <v>5786</v>
      </c>
      <c r="P41" s="105">
        <f t="shared" si="34"/>
        <v>-29468</v>
      </c>
      <c r="Q41" s="41">
        <f t="shared" si="34"/>
        <v>16773</v>
      </c>
      <c r="R41" s="41">
        <f t="shared" si="34"/>
        <v>126</v>
      </c>
      <c r="S41" s="41">
        <f t="shared" si="34"/>
        <v>-172</v>
      </c>
      <c r="T41" s="41">
        <f>SUM(T34:T38)</f>
        <v>-79403</v>
      </c>
      <c r="U41" s="105">
        <f t="shared" si="34"/>
        <v>-62676</v>
      </c>
      <c r="V41" s="41">
        <f t="shared" ref="V41:W41" si="35">SUM(V34:V38)</f>
        <v>-191</v>
      </c>
      <c r="W41" s="41">
        <f t="shared" si="35"/>
        <v>-474</v>
      </c>
      <c r="X41" s="41">
        <f>SUM(X34:X38)</f>
        <v>-17973</v>
      </c>
      <c r="Y41" s="41">
        <f>SUM(Y34:Y38)</f>
        <v>-40473</v>
      </c>
      <c r="Z41" s="105">
        <f t="shared" ref="Z41:AB41" si="36">SUM(Z34:Z38)</f>
        <v>-59111</v>
      </c>
      <c r="AA41" s="41">
        <f t="shared" si="36"/>
        <v>-18761</v>
      </c>
      <c r="AB41" s="41">
        <f t="shared" si="36"/>
        <v>138858</v>
      </c>
      <c r="AC41" s="41">
        <f>SUM(AC34:AC38)</f>
        <v>-8339</v>
      </c>
      <c r="AD41" s="41">
        <f>SUM(AD34:AD38)</f>
        <v>-169505</v>
      </c>
      <c r="AE41" s="105">
        <f>SUM(AE34:AE38)</f>
        <v>-57747</v>
      </c>
      <c r="AF41" s="41">
        <f t="shared" ref="AF41:AG41" si="37">SUM(AF34:AF38)</f>
        <v>-3416</v>
      </c>
      <c r="AG41" s="41">
        <f t="shared" si="37"/>
        <v>-23958</v>
      </c>
      <c r="AH41" s="41">
        <f>SUM(AH34:AH38)</f>
        <v>-28447</v>
      </c>
      <c r="AI41" s="41">
        <f>SUM(AI34:AI38)</f>
        <v>-24296</v>
      </c>
      <c r="AJ41" s="105">
        <f>SUM(AJ34:AJ38)</f>
        <v>-80117</v>
      </c>
      <c r="AK41" s="41">
        <f>SUM(AK34:AK40)</f>
        <v>-1367</v>
      </c>
      <c r="AL41" s="41">
        <f t="shared" ref="AL41:AM41" si="38">SUM(AL34:AL40)</f>
        <v>-13142</v>
      </c>
      <c r="AM41" s="263">
        <f t="shared" si="38"/>
        <v>-21687</v>
      </c>
      <c r="AN41" s="263">
        <f>SUM(AN34:AN40)</f>
        <v>-76848</v>
      </c>
      <c r="AO41" s="105">
        <f>SUM(AO34:AO40)</f>
        <v>-113044</v>
      </c>
      <c r="AP41" s="263">
        <f>SUM(AP34:AP40)</f>
        <v>-72217</v>
      </c>
      <c r="AQ41" s="263">
        <f t="shared" ref="AQ41:AR41" si="39">SUM(AQ34:AQ40)</f>
        <v>-23900</v>
      </c>
      <c r="AR41" s="263">
        <f t="shared" si="39"/>
        <v>-28741</v>
      </c>
      <c r="AS41" s="263">
        <f>SUM(AS34:AS40)</f>
        <v>-22396</v>
      </c>
      <c r="AT41" s="105">
        <f>SUM(AT34:AT40)</f>
        <v>-147254</v>
      </c>
      <c r="AU41" s="263">
        <f>SUM(AU34:AU40)</f>
        <v>-62180</v>
      </c>
    </row>
    <row r="42" spans="1:49" x14ac:dyDescent="0.25">
      <c r="A42" s="5" t="s">
        <v>169</v>
      </c>
      <c r="B42" s="40">
        <v>-41957</v>
      </c>
      <c r="C42" s="40">
        <v>11640</v>
      </c>
      <c r="D42" s="40">
        <v>-1256</v>
      </c>
      <c r="E42" s="40">
        <v>-10047</v>
      </c>
      <c r="F42" s="52">
        <v>-41618</v>
      </c>
      <c r="G42" s="40">
        <f>20256.4703675634</f>
        <v>20256.470367563401</v>
      </c>
      <c r="H42" s="40">
        <f>-8597+1</f>
        <v>-8596</v>
      </c>
      <c r="I42" s="40">
        <v>4058</v>
      </c>
      <c r="J42" s="40">
        <v>-30215</v>
      </c>
      <c r="K42" s="52">
        <v>-14496</v>
      </c>
      <c r="L42" s="40">
        <v>6892</v>
      </c>
      <c r="M42" s="40">
        <v>32231</v>
      </c>
      <c r="N42" s="40">
        <f>-1866</f>
        <v>-1866</v>
      </c>
      <c r="O42" s="40">
        <v>-3200</v>
      </c>
      <c r="P42" s="104">
        <v>34057</v>
      </c>
      <c r="Q42" s="40">
        <v>11953</v>
      </c>
      <c r="R42" s="40">
        <v>-26363</v>
      </c>
      <c r="S42" s="40">
        <v>-3878</v>
      </c>
      <c r="T42" s="40">
        <v>-2728</v>
      </c>
      <c r="U42" s="104">
        <v>-21018</v>
      </c>
      <c r="V42" s="40">
        <v>-6643</v>
      </c>
      <c r="W42" s="40">
        <v>7099</v>
      </c>
      <c r="X42" s="40">
        <v>-14188</v>
      </c>
      <c r="Y42" s="40">
        <v>8236</v>
      </c>
      <c r="Z42" s="104">
        <v>-5496</v>
      </c>
      <c r="AA42" s="40">
        <v>-9391</v>
      </c>
      <c r="AB42" s="40">
        <v>9210</v>
      </c>
      <c r="AC42" s="40">
        <v>18927</v>
      </c>
      <c r="AD42" s="40">
        <v>23986</v>
      </c>
      <c r="AE42" s="114">
        <f>SUM(AA42:AD42)</f>
        <v>42732</v>
      </c>
      <c r="AF42" s="40">
        <v>-24865</v>
      </c>
      <c r="AG42" s="40">
        <v>6841</v>
      </c>
      <c r="AH42" s="40">
        <v>-5414</v>
      </c>
      <c r="AI42" s="40">
        <v>-13475</v>
      </c>
      <c r="AJ42" s="114">
        <f>SUM(AF42:AI42)</f>
        <v>-36913</v>
      </c>
      <c r="AK42" s="40">
        <v>-16673</v>
      </c>
      <c r="AL42" s="40">
        <v>-33996</v>
      </c>
      <c r="AM42" s="262">
        <v>-18144</v>
      </c>
      <c r="AN42" s="262">
        <v>24665</v>
      </c>
      <c r="AO42" s="114">
        <f>SUM(AK42:AN42)-1</f>
        <v>-44149</v>
      </c>
      <c r="AP42" s="262">
        <v>-1182</v>
      </c>
      <c r="AQ42" s="262">
        <v>-7673</v>
      </c>
      <c r="AR42" s="262">
        <v>-3337</v>
      </c>
      <c r="AS42" s="262">
        <v>6969</v>
      </c>
      <c r="AT42" s="114">
        <v>-5223</v>
      </c>
      <c r="AU42" s="262">
        <v>-7333</v>
      </c>
    </row>
    <row r="43" spans="1:49" ht="15" customHeight="1" x14ac:dyDescent="0.25">
      <c r="A43" s="10" t="s">
        <v>170</v>
      </c>
      <c r="B43" s="41">
        <f t="shared" ref="B43:AL43" si="40">SUM(B25,B33,B41,B42)</f>
        <v>-35451</v>
      </c>
      <c r="C43" s="41">
        <f t="shared" si="40"/>
        <v>4733</v>
      </c>
      <c r="D43" s="41">
        <f t="shared" si="40"/>
        <v>-6465</v>
      </c>
      <c r="E43" s="41">
        <f t="shared" si="40"/>
        <v>38893</v>
      </c>
      <c r="F43" s="53">
        <f t="shared" si="40"/>
        <v>1710</v>
      </c>
      <c r="G43" s="41">
        <f t="shared" si="40"/>
        <v>32573.540638811399</v>
      </c>
      <c r="H43" s="41">
        <f t="shared" si="40"/>
        <v>-8703</v>
      </c>
      <c r="I43" s="41">
        <f t="shared" si="40"/>
        <v>29751</v>
      </c>
      <c r="J43" s="41">
        <f t="shared" si="40"/>
        <v>-136841</v>
      </c>
      <c r="K43" s="53">
        <f t="shared" si="40"/>
        <v>-83220</v>
      </c>
      <c r="L43" s="41">
        <f t="shared" si="40"/>
        <v>33496</v>
      </c>
      <c r="M43" s="41">
        <f t="shared" si="40"/>
        <v>4372</v>
      </c>
      <c r="N43" s="41">
        <f t="shared" si="40"/>
        <v>49798</v>
      </c>
      <c r="O43" s="41">
        <f t="shared" si="40"/>
        <v>56128</v>
      </c>
      <c r="P43" s="105">
        <f t="shared" si="40"/>
        <v>143794</v>
      </c>
      <c r="Q43" s="41">
        <f t="shared" si="40"/>
        <v>69763</v>
      </c>
      <c r="R43" s="41">
        <f t="shared" si="40"/>
        <v>-3589</v>
      </c>
      <c r="S43" s="41">
        <f t="shared" si="40"/>
        <v>-21595</v>
      </c>
      <c r="T43" s="41">
        <f t="shared" si="40"/>
        <v>-94264</v>
      </c>
      <c r="U43" s="105">
        <f t="shared" si="40"/>
        <v>-49685</v>
      </c>
      <c r="V43" s="41">
        <f t="shared" si="40"/>
        <v>31345</v>
      </c>
      <c r="W43" s="41">
        <f t="shared" si="40"/>
        <v>26282</v>
      </c>
      <c r="X43" s="41">
        <f t="shared" si="40"/>
        <v>-12875</v>
      </c>
      <c r="Y43" s="41">
        <f t="shared" si="40"/>
        <v>9585</v>
      </c>
      <c r="Z43" s="105">
        <f t="shared" si="40"/>
        <v>54337</v>
      </c>
      <c r="AA43" s="41">
        <f t="shared" si="40"/>
        <v>17743</v>
      </c>
      <c r="AB43" s="41">
        <f t="shared" si="40"/>
        <v>141675</v>
      </c>
      <c r="AC43" s="41">
        <f t="shared" si="40"/>
        <v>48563</v>
      </c>
      <c r="AD43" s="41">
        <f t="shared" si="40"/>
        <v>-138733</v>
      </c>
      <c r="AE43" s="105">
        <f t="shared" si="40"/>
        <v>69248</v>
      </c>
      <c r="AF43" s="41">
        <f t="shared" si="40"/>
        <v>32049</v>
      </c>
      <c r="AG43" s="41">
        <f t="shared" si="40"/>
        <v>-30539</v>
      </c>
      <c r="AH43" s="41">
        <f t="shared" si="40"/>
        <v>7937</v>
      </c>
      <c r="AI43" s="41">
        <f t="shared" si="40"/>
        <v>18069</v>
      </c>
      <c r="AJ43" s="105">
        <f t="shared" si="40"/>
        <v>27516</v>
      </c>
      <c r="AK43" s="41">
        <f t="shared" si="40"/>
        <v>73815</v>
      </c>
      <c r="AL43" s="41">
        <f t="shared" si="40"/>
        <v>-26796</v>
      </c>
      <c r="AM43" s="263">
        <f>SUM(AM25,AM33,AM41,AM42)-1</f>
        <v>-155223</v>
      </c>
      <c r="AN43" s="263">
        <f t="shared" ref="AN43:AT43" si="41">SUM(AN25,AN33,AN41,AN42)</f>
        <v>40877</v>
      </c>
      <c r="AO43" s="105">
        <f t="shared" si="41"/>
        <v>-67327</v>
      </c>
      <c r="AP43" s="263">
        <f t="shared" si="41"/>
        <v>-67537</v>
      </c>
      <c r="AQ43" s="263">
        <f t="shared" si="41"/>
        <v>-82480</v>
      </c>
      <c r="AR43" s="263">
        <f t="shared" si="41"/>
        <v>-28326</v>
      </c>
      <c r="AS43" s="263">
        <f>SUM(AS25,AS33,AS41,AS42)</f>
        <v>141399.76</v>
      </c>
      <c r="AT43" s="105">
        <f t="shared" si="41"/>
        <v>-36943</v>
      </c>
      <c r="AU43" s="263">
        <f t="shared" ref="AU43" si="42">SUM(AU25,AU33,AU41,AU42)</f>
        <v>-69395</v>
      </c>
    </row>
    <row r="44" spans="1:49" ht="15" customHeight="1" x14ac:dyDescent="0.25">
      <c r="A44" s="5" t="s">
        <v>171</v>
      </c>
      <c r="B44" s="38">
        <v>351827</v>
      </c>
      <c r="C44" s="37">
        <f>B45</f>
        <v>316376</v>
      </c>
      <c r="D44" s="37">
        <f t="shared" ref="D44:E44" si="43">C45</f>
        <v>321109</v>
      </c>
      <c r="E44" s="37">
        <f t="shared" si="43"/>
        <v>314644</v>
      </c>
      <c r="F44" s="48">
        <f>B44</f>
        <v>351827</v>
      </c>
      <c r="G44" s="37">
        <f>F45</f>
        <v>353537</v>
      </c>
      <c r="H44" s="37">
        <f>G45</f>
        <v>386110.54063881142</v>
      </c>
      <c r="I44" s="37">
        <f>H45</f>
        <v>377407.54063881142</v>
      </c>
      <c r="J44" s="37">
        <f>I45</f>
        <v>407158.54063881142</v>
      </c>
      <c r="K44" s="48">
        <f>F45</f>
        <v>353537</v>
      </c>
      <c r="L44" s="37">
        <f>K45</f>
        <v>270317</v>
      </c>
      <c r="M44" s="37">
        <f t="shared" ref="M44:O44" si="44">L45</f>
        <v>303813</v>
      </c>
      <c r="N44" s="37">
        <f t="shared" si="44"/>
        <v>308185</v>
      </c>
      <c r="O44" s="37">
        <f t="shared" si="44"/>
        <v>357983</v>
      </c>
      <c r="P44" s="100">
        <f>K45</f>
        <v>270317</v>
      </c>
      <c r="Q44" s="37">
        <f>P45</f>
        <v>414111</v>
      </c>
      <c r="R44" s="37">
        <f>Q45</f>
        <v>483874</v>
      </c>
      <c r="S44" s="37">
        <f>R45</f>
        <v>480285</v>
      </c>
      <c r="T44" s="37">
        <f t="shared" ref="T44" si="45">S45</f>
        <v>458690</v>
      </c>
      <c r="U44" s="100">
        <f>P45</f>
        <v>414111</v>
      </c>
      <c r="V44" s="37">
        <f>U45</f>
        <v>364426</v>
      </c>
      <c r="W44" s="37">
        <f>V45</f>
        <v>395771</v>
      </c>
      <c r="X44" s="37">
        <f>W45</f>
        <v>422053</v>
      </c>
      <c r="Y44" s="37">
        <f t="shared" ref="Y44" si="46">X45</f>
        <v>409178</v>
      </c>
      <c r="Z44" s="100">
        <f>U45</f>
        <v>364426</v>
      </c>
      <c r="AA44" s="37">
        <f>Z45</f>
        <v>418763</v>
      </c>
      <c r="AB44" s="37">
        <f>AA45</f>
        <v>436506</v>
      </c>
      <c r="AC44" s="37">
        <f>AB45</f>
        <v>578181</v>
      </c>
      <c r="AD44" s="37">
        <f t="shared" ref="AD44" si="47">AC45</f>
        <v>626744</v>
      </c>
      <c r="AE44" s="100">
        <f>Z45</f>
        <v>418763</v>
      </c>
      <c r="AF44" s="37">
        <f>AE45</f>
        <v>488011</v>
      </c>
      <c r="AG44" s="37">
        <f>AF45</f>
        <v>520060</v>
      </c>
      <c r="AH44" s="37">
        <f>AG45</f>
        <v>489521</v>
      </c>
      <c r="AI44" s="37">
        <f t="shared" ref="AI44" si="48">AH45</f>
        <v>497458</v>
      </c>
      <c r="AJ44" s="100">
        <f>AE45</f>
        <v>488011</v>
      </c>
      <c r="AK44" s="61">
        <f>AJ45</f>
        <v>515527</v>
      </c>
      <c r="AL44" s="37">
        <f>AK45</f>
        <v>589342</v>
      </c>
      <c r="AM44" s="259">
        <f>AL45</f>
        <v>562546</v>
      </c>
      <c r="AN44" s="259">
        <f t="shared" ref="AN44" si="49">AM45</f>
        <v>407323</v>
      </c>
      <c r="AO44" s="100">
        <f>AJ45</f>
        <v>515527</v>
      </c>
      <c r="AP44" s="275">
        <f>AO45</f>
        <v>448200</v>
      </c>
      <c r="AQ44" s="259">
        <f>AP45</f>
        <v>380663</v>
      </c>
      <c r="AR44" s="259">
        <f>AQ45</f>
        <v>298183</v>
      </c>
      <c r="AS44" s="259">
        <f t="shared" ref="AS44" si="50">AR45</f>
        <v>269857</v>
      </c>
      <c r="AT44" s="100">
        <f>AO45</f>
        <v>448200</v>
      </c>
      <c r="AU44" s="275">
        <f>AT45</f>
        <v>411257</v>
      </c>
    </row>
    <row r="45" spans="1:49" ht="15" customHeight="1" x14ac:dyDescent="0.25">
      <c r="A45" s="10" t="s">
        <v>172</v>
      </c>
      <c r="B45" s="61">
        <f>SUM(B44,B43)</f>
        <v>316376</v>
      </c>
      <c r="C45" s="61">
        <f t="shared" ref="C45:W45" si="51">SUM(C44,C43)</f>
        <v>321109</v>
      </c>
      <c r="D45" s="61">
        <f t="shared" si="51"/>
        <v>314644</v>
      </c>
      <c r="E45" s="61">
        <f t="shared" si="51"/>
        <v>353537</v>
      </c>
      <c r="F45" s="93">
        <f t="shared" si="51"/>
        <v>353537</v>
      </c>
      <c r="G45" s="61">
        <f t="shared" si="51"/>
        <v>386110.54063881142</v>
      </c>
      <c r="H45" s="61">
        <f t="shared" si="51"/>
        <v>377407.54063881142</v>
      </c>
      <c r="I45" s="61">
        <f t="shared" si="51"/>
        <v>407158.54063881142</v>
      </c>
      <c r="J45" s="61">
        <f t="shared" si="51"/>
        <v>270317.54063881142</v>
      </c>
      <c r="K45" s="93">
        <f t="shared" si="51"/>
        <v>270317</v>
      </c>
      <c r="L45" s="61">
        <f t="shared" si="51"/>
        <v>303813</v>
      </c>
      <c r="M45" s="61">
        <f t="shared" si="51"/>
        <v>308185</v>
      </c>
      <c r="N45" s="61">
        <f t="shared" si="51"/>
        <v>357983</v>
      </c>
      <c r="O45" s="61">
        <f t="shared" si="51"/>
        <v>414111</v>
      </c>
      <c r="P45" s="115">
        <f t="shared" si="51"/>
        <v>414111</v>
      </c>
      <c r="Q45" s="61">
        <f t="shared" si="51"/>
        <v>483874</v>
      </c>
      <c r="R45" s="61">
        <f t="shared" si="51"/>
        <v>480285</v>
      </c>
      <c r="S45" s="61">
        <f t="shared" si="51"/>
        <v>458690</v>
      </c>
      <c r="T45" s="61">
        <f t="shared" si="51"/>
        <v>364426</v>
      </c>
      <c r="U45" s="115">
        <f t="shared" si="51"/>
        <v>364426</v>
      </c>
      <c r="V45" s="61">
        <f t="shared" si="51"/>
        <v>395771</v>
      </c>
      <c r="W45" s="61">
        <f t="shared" si="51"/>
        <v>422053</v>
      </c>
      <c r="X45" s="61">
        <f t="shared" ref="X45:AB45" si="52">SUM(X44,X43)</f>
        <v>409178</v>
      </c>
      <c r="Y45" s="61">
        <f t="shared" si="52"/>
        <v>418763</v>
      </c>
      <c r="Z45" s="115">
        <f t="shared" si="52"/>
        <v>418763</v>
      </c>
      <c r="AA45" s="61">
        <f t="shared" si="52"/>
        <v>436506</v>
      </c>
      <c r="AB45" s="61">
        <f t="shared" si="52"/>
        <v>578181</v>
      </c>
      <c r="AC45" s="61">
        <f t="shared" ref="AC45:AG45" si="53">SUM(AC44,AC43)</f>
        <v>626744</v>
      </c>
      <c r="AD45" s="61">
        <f t="shared" si="53"/>
        <v>488011</v>
      </c>
      <c r="AE45" s="115">
        <f t="shared" si="53"/>
        <v>488011</v>
      </c>
      <c r="AF45" s="61">
        <f t="shared" si="53"/>
        <v>520060</v>
      </c>
      <c r="AG45" s="61">
        <f t="shared" si="53"/>
        <v>489521</v>
      </c>
      <c r="AH45" s="61">
        <f t="shared" ref="AH45:AJ45" si="54">SUM(AH44,AH43)</f>
        <v>497458</v>
      </c>
      <c r="AI45" s="61">
        <f t="shared" si="54"/>
        <v>515527</v>
      </c>
      <c r="AJ45" s="115">
        <f t="shared" si="54"/>
        <v>515527</v>
      </c>
      <c r="AK45" s="61">
        <f>SUM(AK44,AK43)</f>
        <v>589342</v>
      </c>
      <c r="AL45" s="61">
        <f>SUM(AL44,AL43)</f>
        <v>562546</v>
      </c>
      <c r="AM45" s="275">
        <f>SUM(AM44,AM43)</f>
        <v>407323</v>
      </c>
      <c r="AN45" s="275">
        <f>SUM(AN44,AN43)</f>
        <v>448200</v>
      </c>
      <c r="AO45" s="115">
        <f t="shared" ref="AO45" si="55">SUM(AO44,AO43)</f>
        <v>448200</v>
      </c>
      <c r="AP45" s="275">
        <f>SUM(AP44,AP43)</f>
        <v>380663</v>
      </c>
      <c r="AQ45" s="275">
        <f>SUM(AQ44,AQ43)</f>
        <v>298183</v>
      </c>
      <c r="AR45" s="275">
        <f>SUM(AR44,AR43)</f>
        <v>269857</v>
      </c>
      <c r="AS45" s="275">
        <f>SUM(AS44,AS43)</f>
        <v>411256.76</v>
      </c>
      <c r="AT45" s="115">
        <f t="shared" ref="AT45" si="56">SUM(AT44,AT43)</f>
        <v>411257</v>
      </c>
      <c r="AU45" s="275">
        <f>SUM(AU44,AU43)</f>
        <v>341862</v>
      </c>
      <c r="AV45" s="250"/>
      <c r="AW45" s="250"/>
    </row>
    <row r="46" spans="1:49" ht="15" customHeight="1" x14ac:dyDescent="0.25">
      <c r="A46" s="10" t="s">
        <v>173</v>
      </c>
      <c r="B46" s="35"/>
      <c r="C46" s="35"/>
      <c r="D46" s="35"/>
      <c r="E46" s="35"/>
      <c r="F46" s="46"/>
      <c r="G46" s="35"/>
      <c r="H46" s="35"/>
      <c r="I46" s="35"/>
      <c r="J46" s="35"/>
      <c r="K46" s="46"/>
      <c r="L46" s="35"/>
      <c r="M46" s="35"/>
      <c r="N46" s="35"/>
      <c r="O46" s="35"/>
      <c r="P46" s="98"/>
      <c r="Q46" s="35"/>
      <c r="R46" s="35"/>
      <c r="S46" s="35"/>
      <c r="T46" s="35"/>
      <c r="U46" s="98"/>
      <c r="V46" s="35"/>
      <c r="W46" s="35"/>
      <c r="X46" s="35"/>
      <c r="Y46" s="35"/>
      <c r="Z46" s="98"/>
      <c r="AA46" s="35"/>
      <c r="AB46" s="35"/>
      <c r="AC46" s="35"/>
      <c r="AD46" s="35"/>
      <c r="AE46" s="98"/>
      <c r="AF46" s="35"/>
      <c r="AG46" s="35"/>
      <c r="AH46" s="35"/>
      <c r="AI46" s="35"/>
      <c r="AJ46" s="98"/>
      <c r="AK46" s="35"/>
      <c r="AL46" s="35"/>
      <c r="AM46" s="257"/>
      <c r="AN46" s="257"/>
      <c r="AO46" s="98"/>
      <c r="AP46" s="257"/>
      <c r="AQ46" s="257"/>
      <c r="AR46" s="257"/>
      <c r="AS46" s="257"/>
      <c r="AT46" s="116"/>
      <c r="AU46" s="257"/>
    </row>
    <row r="47" spans="1:49" ht="15" customHeight="1" x14ac:dyDescent="0.25">
      <c r="A47" s="5" t="s">
        <v>174</v>
      </c>
      <c r="B47" s="61"/>
      <c r="C47" s="61"/>
      <c r="D47" s="61"/>
      <c r="E47" s="61"/>
      <c r="F47" s="93"/>
      <c r="G47" s="61"/>
      <c r="H47" s="61"/>
      <c r="I47" s="61"/>
      <c r="J47" s="61"/>
      <c r="K47" s="93"/>
      <c r="L47" s="94">
        <v>-11683</v>
      </c>
      <c r="M47" s="94">
        <v>-15848</v>
      </c>
      <c r="N47" s="94">
        <v>-10165</v>
      </c>
      <c r="O47" s="94">
        <v>-18665</v>
      </c>
      <c r="P47" s="116">
        <v>-56360</v>
      </c>
      <c r="Q47" s="94">
        <v>-14216</v>
      </c>
      <c r="R47" s="94">
        <v>-18343</v>
      </c>
      <c r="S47" s="94">
        <v>-23614</v>
      </c>
      <c r="T47" s="94">
        <v>-10871</v>
      </c>
      <c r="U47" s="116">
        <v>-67045</v>
      </c>
      <c r="V47" s="94">
        <v>-17868</v>
      </c>
      <c r="W47" s="94">
        <v>-7127</v>
      </c>
      <c r="X47" s="94">
        <v>-19932</v>
      </c>
      <c r="Y47" s="94">
        <v>-7166</v>
      </c>
      <c r="Z47" s="116">
        <v>-52093</v>
      </c>
      <c r="AA47" s="94">
        <v>-12047</v>
      </c>
      <c r="AB47" s="94">
        <v>-4519</v>
      </c>
      <c r="AC47" s="94">
        <v>4337</v>
      </c>
      <c r="AD47" s="94">
        <v>-5381</v>
      </c>
      <c r="AE47" s="116">
        <v>-17610</v>
      </c>
      <c r="AF47" s="94">
        <v>-8432</v>
      </c>
      <c r="AG47" s="94">
        <v>-5150</v>
      </c>
      <c r="AH47" s="94">
        <v>-9703</v>
      </c>
      <c r="AI47" s="94">
        <v>-5482</v>
      </c>
      <c r="AJ47" s="116">
        <v>-28767</v>
      </c>
      <c r="AK47" s="94">
        <v>-7978</v>
      </c>
      <c r="AL47" s="94">
        <v>-17107</v>
      </c>
      <c r="AM47" s="276">
        <v>-8600</v>
      </c>
      <c r="AN47" s="276">
        <v>-4439</v>
      </c>
      <c r="AO47" s="116">
        <v>-38124</v>
      </c>
      <c r="AP47" s="276">
        <v>-7900</v>
      </c>
      <c r="AQ47" s="276">
        <v>-23201</v>
      </c>
      <c r="AR47" s="276">
        <v>-10276</v>
      </c>
      <c r="AS47" s="276">
        <v>1250</v>
      </c>
      <c r="AT47" s="116">
        <f>SUM(AP47:AS47)</f>
        <v>-40127</v>
      </c>
      <c r="AU47" s="276">
        <v>-1168</v>
      </c>
    </row>
    <row r="48" spans="1:49" ht="15" customHeight="1" x14ac:dyDescent="0.25">
      <c r="A48" s="5" t="s">
        <v>175</v>
      </c>
      <c r="B48" s="61"/>
      <c r="C48" s="61"/>
      <c r="D48" s="61"/>
      <c r="E48" s="61"/>
      <c r="F48" s="93"/>
      <c r="G48" s="61"/>
      <c r="H48" s="61"/>
      <c r="I48" s="61"/>
      <c r="J48" s="61"/>
      <c r="K48" s="93"/>
      <c r="L48" s="94">
        <v>-568</v>
      </c>
      <c r="M48" s="94">
        <v>-695</v>
      </c>
      <c r="N48" s="94">
        <v>-495</v>
      </c>
      <c r="O48" s="94">
        <v>-344</v>
      </c>
      <c r="P48" s="116">
        <v>-2102</v>
      </c>
      <c r="Q48" s="94">
        <v>-407</v>
      </c>
      <c r="R48" s="94">
        <v>-432</v>
      </c>
      <c r="S48" s="94">
        <v>-422</v>
      </c>
      <c r="T48" s="94">
        <v>-433</v>
      </c>
      <c r="U48" s="116">
        <v>-1695</v>
      </c>
      <c r="V48" s="94">
        <v>-407</v>
      </c>
      <c r="W48" s="94">
        <v>-351</v>
      </c>
      <c r="X48" s="94">
        <v>-337</v>
      </c>
      <c r="Y48" s="94">
        <v>-308</v>
      </c>
      <c r="Z48" s="116">
        <v>-1403</v>
      </c>
      <c r="AA48" s="94">
        <v>-349</v>
      </c>
      <c r="AB48" s="94">
        <v>-317</v>
      </c>
      <c r="AC48" s="94">
        <v>-153</v>
      </c>
      <c r="AD48" s="94">
        <v>-1336</v>
      </c>
      <c r="AE48" s="116">
        <v>-2155</v>
      </c>
      <c r="AF48" s="94">
        <v>-367</v>
      </c>
      <c r="AG48" s="94">
        <v>-369</v>
      </c>
      <c r="AH48" s="94">
        <v>-403</v>
      </c>
      <c r="AI48" s="94">
        <v>-347</v>
      </c>
      <c r="AJ48" s="116">
        <v>-1486</v>
      </c>
      <c r="AK48" s="94">
        <v>-365</v>
      </c>
      <c r="AL48" s="94">
        <v>-261</v>
      </c>
      <c r="AM48" s="276">
        <v>-333</v>
      </c>
      <c r="AN48" s="276">
        <v>-339</v>
      </c>
      <c r="AO48" s="116">
        <v>-1298</v>
      </c>
      <c r="AP48" s="276">
        <v>-616</v>
      </c>
      <c r="AQ48" s="276">
        <v>-60</v>
      </c>
      <c r="AR48" s="276">
        <v>-439</v>
      </c>
      <c r="AS48" s="276">
        <v>-424</v>
      </c>
      <c r="AT48" s="116">
        <v>-1539</v>
      </c>
      <c r="AU48" s="276">
        <v>-327</v>
      </c>
    </row>
    <row r="49" spans="1:47" ht="15" customHeight="1" x14ac:dyDescent="0.25">
      <c r="F49" s="9"/>
      <c r="K49" s="9"/>
      <c r="P49" s="95"/>
      <c r="U49" s="95"/>
      <c r="Z49" s="95"/>
      <c r="AE49" s="95"/>
      <c r="AJ49" s="95"/>
      <c r="AO49" s="95"/>
      <c r="AP49" s="151" t="s">
        <v>176</v>
      </c>
      <c r="AQ49" s="151" t="s">
        <v>176</v>
      </c>
      <c r="AR49" s="151" t="s">
        <v>176</v>
      </c>
      <c r="AS49" s="151" t="s">
        <v>176</v>
      </c>
      <c r="AT49" s="95"/>
      <c r="AU49" s="151" t="s">
        <v>176</v>
      </c>
    </row>
    <row r="50" spans="1:47" ht="15" customHeight="1" x14ac:dyDescent="0.25"/>
    <row r="51" spans="1:47" ht="15" customHeight="1" x14ac:dyDescent="0.25">
      <c r="A51" s="5" t="s">
        <v>177</v>
      </c>
    </row>
    <row r="52" spans="1:47" ht="15" customHeight="1" x14ac:dyDescent="0.25"/>
    <row r="53" spans="1:47" ht="15" customHeight="1" x14ac:dyDescent="0.25"/>
    <row r="54" spans="1:47" ht="15" customHeight="1" x14ac:dyDescent="0.25"/>
    <row r="55" spans="1:47" ht="15" customHeight="1" x14ac:dyDescent="0.25"/>
    <row r="56" spans="1:47" ht="15" customHeight="1" x14ac:dyDescent="0.25"/>
    <row r="57" spans="1:47" ht="15" customHeight="1" x14ac:dyDescent="0.25"/>
    <row r="58" spans="1:47" ht="15" customHeight="1" x14ac:dyDescent="0.25"/>
    <row r="59" spans="1:47" ht="15" customHeight="1" x14ac:dyDescent="0.25"/>
    <row r="60" spans="1:47" ht="15" customHeight="1" x14ac:dyDescent="0.25"/>
    <row r="61" spans="1:47" ht="15" customHeight="1" x14ac:dyDescent="0.25"/>
    <row r="62" spans="1:47" ht="15" customHeight="1" x14ac:dyDescent="0.25"/>
    <row r="63" spans="1:47" ht="15" customHeight="1" x14ac:dyDescent="0.25"/>
    <row r="64" spans="1:47"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sheetData>
  <pageMargins left="0.7" right="0.7" top="0.75" bottom="0.75" header="0.3" footer="0.3"/>
  <pageSetup orientation="landscape" r:id="rId1"/>
  <ignoredErrors>
    <ignoredError sqref="B16:V1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Y81"/>
  <sheetViews>
    <sheetView showGridLines="0" zoomScale="80" zoomScaleNormal="80" workbookViewId="0">
      <selection activeCell="AV1" sqref="AV1:AV1048576"/>
    </sheetView>
  </sheetViews>
  <sheetFormatPr defaultColWidth="12.6640625" defaultRowHeight="13.2" outlineLevelRow="1" outlineLevelCol="1" x14ac:dyDescent="0.25"/>
  <cols>
    <col min="1" max="1" width="79.109375" style="142" customWidth="1"/>
    <col min="2" max="11" width="12.6640625" style="142" hidden="1" customWidth="1" outlineLevel="1"/>
    <col min="12" max="12" width="12.6640625" style="142" hidden="1" customWidth="1" outlineLevel="1" collapsed="1"/>
    <col min="13" max="13" width="12.6640625" style="142" hidden="1" customWidth="1" outlineLevel="1"/>
    <col min="14" max="14" width="12.6640625" style="142" hidden="1" customWidth="1" outlineLevel="1" collapsed="1"/>
    <col min="15" max="24" width="12.6640625" style="142" hidden="1" customWidth="1" outlineLevel="1"/>
    <col min="25" max="25" width="12.6640625" style="142" hidden="1" customWidth="1" collapsed="1"/>
    <col min="26" max="36" width="0" style="142" hidden="1" customWidth="1"/>
    <col min="37" max="41" width="12.6640625" style="142"/>
    <col min="42" max="43" width="12.6640625" style="147"/>
    <col min="44" max="46" width="12.6640625" style="142"/>
    <col min="47" max="49" width="12.6640625" style="147"/>
    <col min="50" max="16384" width="12.6640625" style="142"/>
  </cols>
  <sheetData>
    <row r="1" spans="1:51" x14ac:dyDescent="0.25">
      <c r="A1" s="145" t="s">
        <v>178</v>
      </c>
    </row>
    <row r="2" spans="1:51" x14ac:dyDescent="0.25">
      <c r="A2" s="142" t="s">
        <v>1</v>
      </c>
    </row>
    <row r="3" spans="1:51" ht="24" customHeight="1" x14ac:dyDescent="0.25">
      <c r="B3" s="157" t="s">
        <v>60</v>
      </c>
      <c r="C3" s="157" t="s">
        <v>61</v>
      </c>
      <c r="D3" s="157" t="s">
        <v>62</v>
      </c>
      <c r="E3" s="157" t="s">
        <v>63</v>
      </c>
      <c r="F3" s="158" t="s">
        <v>64</v>
      </c>
      <c r="G3" s="157" t="s">
        <v>65</v>
      </c>
      <c r="H3" s="157" t="s">
        <v>66</v>
      </c>
      <c r="I3" s="157" t="s">
        <v>67</v>
      </c>
      <c r="J3" s="157" t="s">
        <v>68</v>
      </c>
      <c r="K3" s="158" t="s">
        <v>69</v>
      </c>
      <c r="L3" s="157" t="s">
        <v>70</v>
      </c>
      <c r="M3" s="157" t="s">
        <v>71</v>
      </c>
      <c r="N3" s="157" t="s">
        <v>72</v>
      </c>
      <c r="O3" s="157" t="s">
        <v>73</v>
      </c>
      <c r="P3" s="159" t="s">
        <v>74</v>
      </c>
      <c r="Q3" s="157" t="s">
        <v>75</v>
      </c>
      <c r="R3" s="157" t="s">
        <v>76</v>
      </c>
      <c r="S3" s="157" t="s">
        <v>77</v>
      </c>
      <c r="T3" s="157" t="s">
        <v>78</v>
      </c>
      <c r="U3" s="159" t="s">
        <v>79</v>
      </c>
      <c r="V3" s="157" t="s">
        <v>80</v>
      </c>
      <c r="W3" s="157" t="s">
        <v>81</v>
      </c>
      <c r="X3" s="157" t="s">
        <v>82</v>
      </c>
      <c r="Y3" s="157" t="s">
        <v>83</v>
      </c>
      <c r="Z3" s="159" t="s">
        <v>84</v>
      </c>
      <c r="AA3" s="157" t="s">
        <v>85</v>
      </c>
      <c r="AB3" s="157" t="s">
        <v>86</v>
      </c>
      <c r="AC3" s="157" t="s">
        <v>87</v>
      </c>
      <c r="AD3" s="157" t="s">
        <v>88</v>
      </c>
      <c r="AE3" s="159" t="s">
        <v>89</v>
      </c>
      <c r="AF3" s="157" t="s">
        <v>90</v>
      </c>
      <c r="AG3" s="157" t="s">
        <v>91</v>
      </c>
      <c r="AH3" s="157" t="s">
        <v>92</v>
      </c>
      <c r="AI3" s="157" t="s">
        <v>93</v>
      </c>
      <c r="AJ3" s="159" t="s">
        <v>94</v>
      </c>
      <c r="AK3" s="157" t="s">
        <v>95</v>
      </c>
      <c r="AL3" s="157" t="s">
        <v>96</v>
      </c>
      <c r="AM3" s="157" t="s">
        <v>97</v>
      </c>
      <c r="AN3" s="157" t="s">
        <v>98</v>
      </c>
      <c r="AO3" s="159" t="s">
        <v>99</v>
      </c>
      <c r="AP3" s="246" t="s">
        <v>100</v>
      </c>
      <c r="AQ3" s="246" t="s">
        <v>101</v>
      </c>
      <c r="AR3" s="157" t="s">
        <v>102</v>
      </c>
      <c r="AS3" s="157" t="s">
        <v>103</v>
      </c>
      <c r="AT3" s="159" t="s">
        <v>104</v>
      </c>
      <c r="AU3" s="246" t="s">
        <v>105</v>
      </c>
      <c r="AY3" s="308"/>
    </row>
    <row r="4" spans="1:51" ht="15" customHeight="1" x14ac:dyDescent="0.25">
      <c r="A4" s="145" t="s">
        <v>151</v>
      </c>
      <c r="B4" s="160">
        <f>Cashflows!B25</f>
        <v>41007</v>
      </c>
      <c r="C4" s="160">
        <f>Cashflows!C25</f>
        <v>11938</v>
      </c>
      <c r="D4" s="160">
        <f>Cashflows!D25</f>
        <v>17500</v>
      </c>
      <c r="E4" s="160">
        <f>Cashflows!E25</f>
        <v>66706</v>
      </c>
      <c r="F4" s="161">
        <f>Cashflows!F25</f>
        <v>137150</v>
      </c>
      <c r="G4" s="160">
        <f>Cashflows!G25</f>
        <v>18907.430706248</v>
      </c>
      <c r="H4" s="160">
        <f>Cashflows!H25</f>
        <v>19274</v>
      </c>
      <c r="I4" s="160">
        <f>Cashflows!I25</f>
        <v>43631</v>
      </c>
      <c r="J4" s="160">
        <f>Cashflows!J25</f>
        <v>71658</v>
      </c>
      <c r="K4" s="161">
        <f>Cashflows!K25</f>
        <v>153469</v>
      </c>
      <c r="L4" s="160">
        <f>Cashflows!L25</f>
        <v>44238</v>
      </c>
      <c r="M4" s="160">
        <f>Cashflows!M25</f>
        <v>60491</v>
      </c>
      <c r="N4" s="160">
        <f>Cashflows!N25</f>
        <v>61727</v>
      </c>
      <c r="O4" s="160">
        <f>Cashflows!O25</f>
        <v>79002</v>
      </c>
      <c r="P4" s="162">
        <f>Cashflows!P25</f>
        <v>245458</v>
      </c>
      <c r="Q4" s="160">
        <f>Cashflows!Q25</f>
        <v>84527</v>
      </c>
      <c r="R4" s="160">
        <f>Cashflows!R25</f>
        <v>40341</v>
      </c>
      <c r="S4" s="160">
        <f>Cashflows!S25</f>
        <v>50256</v>
      </c>
      <c r="T4" s="160">
        <f>Cashflows!T25</f>
        <v>85600</v>
      </c>
      <c r="U4" s="162">
        <f>Cashflows!U25</f>
        <v>260726</v>
      </c>
      <c r="V4" s="160">
        <f>Cashflows!V25</f>
        <v>67220</v>
      </c>
      <c r="W4" s="160">
        <f>Cashflows!W25</f>
        <v>52964</v>
      </c>
      <c r="X4" s="160">
        <f>Cashflows!X25</f>
        <v>43289</v>
      </c>
      <c r="Y4" s="160">
        <f>Cashflows!Y25</f>
        <v>59359</v>
      </c>
      <c r="Z4" s="162">
        <f>Cashflows!Z25</f>
        <v>222832</v>
      </c>
      <c r="AA4" s="160">
        <f>Cashflows!AA25</f>
        <v>56743</v>
      </c>
      <c r="AB4" s="160">
        <f>Cashflows!AB25</f>
        <v>33377</v>
      </c>
      <c r="AC4" s="160">
        <f>Cashflows!AC25</f>
        <v>51156</v>
      </c>
      <c r="AD4" s="160">
        <f>Cashflows!AD25</f>
        <v>44080</v>
      </c>
      <c r="AE4" s="162">
        <f>Cashflows!AE25</f>
        <v>185356</v>
      </c>
      <c r="AF4" s="160">
        <f>Cashflows!AF25</f>
        <v>77362</v>
      </c>
      <c r="AG4" s="160">
        <f>Cashflows!AG25</f>
        <v>26360</v>
      </c>
      <c r="AH4" s="160">
        <f>Cashflows!AH25</f>
        <v>51179</v>
      </c>
      <c r="AI4" s="160">
        <f>Cashflows!AI25</f>
        <v>66012</v>
      </c>
      <c r="AJ4" s="162">
        <f>Cashflows!AJ25</f>
        <v>220913</v>
      </c>
      <c r="AK4" s="160">
        <f>Cashflows!AK25</f>
        <v>74930</v>
      </c>
      <c r="AL4" s="160">
        <f>Cashflows!AL25</f>
        <v>13972</v>
      </c>
      <c r="AM4" s="160">
        <f>Cashflows!AM25</f>
        <v>41628</v>
      </c>
      <c r="AN4" s="160">
        <f>Cashflows!AN25</f>
        <v>125455</v>
      </c>
      <c r="AO4" s="162">
        <f>Cashflows!AO25</f>
        <v>255985</v>
      </c>
      <c r="AP4" s="247">
        <f>Cashflows!AP25</f>
        <v>41964</v>
      </c>
      <c r="AQ4" s="247">
        <f>Cashflows!AQ25</f>
        <v>1328.0000000000036</v>
      </c>
      <c r="AR4" s="160">
        <f>Cashflows!AR25</f>
        <v>19614</v>
      </c>
      <c r="AS4" s="160">
        <f>Cashflows!AS25</f>
        <v>161339.76</v>
      </c>
      <c r="AT4" s="162">
        <f>Cashflows!AT25</f>
        <v>224246</v>
      </c>
      <c r="AU4" s="247">
        <f>Cashflows!AU25</f>
        <v>14017</v>
      </c>
      <c r="AY4" s="308">
        <f>ROUND(SUM(AP4:AS4)-AT4,0)</f>
        <v>0</v>
      </c>
    </row>
    <row r="5" spans="1:51" ht="15" customHeight="1" x14ac:dyDescent="0.25">
      <c r="A5" s="142" t="s">
        <v>152</v>
      </c>
      <c r="B5" s="163">
        <f>Cashflows!B26</f>
        <v>-11528</v>
      </c>
      <c r="C5" s="163">
        <f>Cashflows!C26</f>
        <v>-29630</v>
      </c>
      <c r="D5" s="163">
        <f>Cashflows!D26</f>
        <v>-21514</v>
      </c>
      <c r="E5" s="163">
        <f>Cashflows!E26</f>
        <v>-12936</v>
      </c>
      <c r="F5" s="164">
        <f>Cashflows!F26</f>
        <v>-75607</v>
      </c>
      <c r="G5" s="163">
        <f>Cashflows!G26</f>
        <v>-13615</v>
      </c>
      <c r="H5" s="163">
        <f>Cashflows!H26</f>
        <v>-25564</v>
      </c>
      <c r="I5" s="163">
        <f>Cashflows!I26</f>
        <v>-15792</v>
      </c>
      <c r="J5" s="163">
        <f>Cashflows!J26</f>
        <v>-30163</v>
      </c>
      <c r="K5" s="164">
        <f>Cashflows!K26</f>
        <v>-85133</v>
      </c>
      <c r="L5" s="163">
        <f>Cashflows!L26</f>
        <v>-23267</v>
      </c>
      <c r="M5" s="163">
        <f>Cashflows!M26</f>
        <v>-30008</v>
      </c>
      <c r="N5" s="163">
        <f>Cashflows!N26</f>
        <v>-20999</v>
      </c>
      <c r="O5" s="163">
        <f>Cashflows!O26</f>
        <v>-47928</v>
      </c>
      <c r="P5" s="165">
        <f>Cashflows!P26</f>
        <v>-122203</v>
      </c>
      <c r="Q5" s="163">
        <f>Cashflows!Q26</f>
        <v>-7413</v>
      </c>
      <c r="R5" s="163">
        <f>Cashflows!R26</f>
        <v>-18880</v>
      </c>
      <c r="S5" s="163">
        <f>Cashflows!S26</f>
        <v>-60627</v>
      </c>
      <c r="T5" s="163">
        <f>Cashflows!T26</f>
        <v>-30064</v>
      </c>
      <c r="U5" s="165">
        <f>Cashflows!U26</f>
        <v>-116984</v>
      </c>
      <c r="V5" s="163">
        <f>Cashflows!V26</f>
        <v>-13292</v>
      </c>
      <c r="W5" s="163">
        <f>Cashflows!W26</f>
        <v>-28812</v>
      </c>
      <c r="X5" s="163">
        <f>Cashflows!X26</f>
        <v>-27239</v>
      </c>
      <c r="Y5" s="163">
        <f>Cashflows!Y26</f>
        <v>-13373</v>
      </c>
      <c r="Z5" s="165">
        <f>Cashflows!Z26</f>
        <v>-82716</v>
      </c>
      <c r="AA5" s="163">
        <f>Cashflows!AA26</f>
        <v>-11258</v>
      </c>
      <c r="AB5" s="163">
        <f>Cashflows!AB26</f>
        <v>-29471</v>
      </c>
      <c r="AC5" s="163">
        <f>Cashflows!AC26</f>
        <v>-16308</v>
      </c>
      <c r="AD5" s="163">
        <f>Cashflows!AD26</f>
        <v>-10250</v>
      </c>
      <c r="AE5" s="165">
        <f>Cashflows!AE26</f>
        <v>-67287</v>
      </c>
      <c r="AF5" s="163">
        <f>Cashflows!AF26</f>
        <v>-11953</v>
      </c>
      <c r="AG5" s="163">
        <f>Cashflows!AG26</f>
        <v>-15663</v>
      </c>
      <c r="AH5" s="163">
        <f>Cashflows!AH26</f>
        <v>-16767</v>
      </c>
      <c r="AI5" s="163">
        <f>Cashflows!AI26</f>
        <v>-10600</v>
      </c>
      <c r="AJ5" s="165">
        <f>Cashflows!AJ26</f>
        <v>-54983</v>
      </c>
      <c r="AK5" s="163">
        <f>Cashflows!AK26</f>
        <v>-10857</v>
      </c>
      <c r="AL5" s="163">
        <f>Cashflows!AL26</f>
        <v>-21937</v>
      </c>
      <c r="AM5" s="163">
        <f>Cashflows!AM26</f>
        <v>-16161</v>
      </c>
      <c r="AN5" s="163">
        <f>Cashflows!AN26</f>
        <v>-35841</v>
      </c>
      <c r="AO5" s="165">
        <f>Cashflows!AO26</f>
        <v>-84796</v>
      </c>
      <c r="AP5" s="248">
        <f>Cashflows!AP26</f>
        <v>-37195</v>
      </c>
      <c r="AQ5" s="248">
        <f>Cashflows!AQ26</f>
        <v>-24312</v>
      </c>
      <c r="AR5" s="163">
        <f>Cashflows!AR26</f>
        <v>-16331</v>
      </c>
      <c r="AS5" s="163">
        <f>Cashflows!AS26</f>
        <v>-14663</v>
      </c>
      <c r="AT5" s="165">
        <f>Cashflows!AT26</f>
        <v>-92501</v>
      </c>
      <c r="AU5" s="248">
        <f>Cashflows!AU26</f>
        <v>-13293</v>
      </c>
      <c r="AY5" s="308">
        <f>ROUND(SUM(AP5:AS5)-AT5,0)</f>
        <v>0</v>
      </c>
    </row>
    <row r="6" spans="1:51" ht="15" hidden="1" customHeight="1" outlineLevel="1" x14ac:dyDescent="0.25">
      <c r="A6" s="142" t="s">
        <v>179</v>
      </c>
      <c r="B6" s="166"/>
      <c r="C6" s="166"/>
      <c r="D6" s="166"/>
      <c r="E6" s="166"/>
      <c r="F6" s="167"/>
      <c r="G6" s="166"/>
      <c r="H6" s="166"/>
      <c r="I6" s="166"/>
      <c r="J6" s="166"/>
      <c r="K6" s="167"/>
      <c r="L6" s="166"/>
      <c r="M6" s="166"/>
      <c r="N6" s="166"/>
      <c r="O6" s="166"/>
      <c r="P6" s="168"/>
      <c r="Q6" s="166"/>
      <c r="R6" s="166"/>
      <c r="S6" s="166"/>
      <c r="T6" s="166"/>
      <c r="U6" s="168"/>
      <c r="V6" s="166"/>
      <c r="W6" s="166"/>
      <c r="X6" s="166"/>
      <c r="Y6" s="166"/>
      <c r="Z6" s="168"/>
      <c r="AA6" s="166"/>
      <c r="AB6" s="166"/>
      <c r="AC6" s="166"/>
      <c r="AD6" s="166"/>
      <c r="AE6" s="168"/>
      <c r="AF6" s="166"/>
      <c r="AG6" s="166"/>
      <c r="AH6" s="166"/>
      <c r="AI6" s="166"/>
      <c r="AJ6" s="168"/>
      <c r="AK6" s="163"/>
      <c r="AL6" s="166"/>
      <c r="AM6" s="166"/>
      <c r="AN6" s="166"/>
      <c r="AO6" s="168"/>
      <c r="AP6" s="248"/>
      <c r="AQ6" s="199"/>
      <c r="AR6" s="166"/>
      <c r="AS6" s="166"/>
      <c r="AT6" s="168"/>
      <c r="AU6" s="248"/>
      <c r="AY6" s="308">
        <f>ROUND(SUM(AP6:AS6)-AT6,0)</f>
        <v>0</v>
      </c>
    </row>
    <row r="7" spans="1:51" ht="33.75" customHeight="1" collapsed="1" x14ac:dyDescent="0.25">
      <c r="A7" s="142" t="s">
        <v>153</v>
      </c>
      <c r="B7" s="169">
        <f>Cashflows!B27</f>
        <v>-1334</v>
      </c>
      <c r="C7" s="169">
        <f>Cashflows!C27</f>
        <v>11282</v>
      </c>
      <c r="D7" s="169">
        <f>Cashflows!D27</f>
        <v>-2551</v>
      </c>
      <c r="E7" s="169">
        <f>Cashflows!E27</f>
        <v>-6269</v>
      </c>
      <c r="F7" s="170">
        <f>Cashflows!F27</f>
        <v>1128</v>
      </c>
      <c r="G7" s="169">
        <f>Cashflows!G27</f>
        <v>1507</v>
      </c>
      <c r="H7" s="169">
        <f>Cashflows!H27</f>
        <v>3178</v>
      </c>
      <c r="I7" s="169">
        <f>Cashflows!I27</f>
        <v>-4115</v>
      </c>
      <c r="J7" s="169">
        <f>Cashflows!J27</f>
        <v>7182</v>
      </c>
      <c r="K7" s="170">
        <f>Cashflows!K27</f>
        <v>7752</v>
      </c>
      <c r="L7" s="169">
        <f>Cashflows!L27</f>
        <v>-4939</v>
      </c>
      <c r="M7" s="169">
        <f>Cashflows!M27</f>
        <v>2953</v>
      </c>
      <c r="N7" s="169">
        <f>Cashflows!N27</f>
        <v>-6774</v>
      </c>
      <c r="O7" s="169">
        <f>Cashflows!O27</f>
        <v>22452</v>
      </c>
      <c r="P7" s="171">
        <f>Cashflows!P27</f>
        <v>13692</v>
      </c>
      <c r="Q7" s="169">
        <f>Cashflows!Q27</f>
        <v>-25154</v>
      </c>
      <c r="R7" s="169">
        <f>Cashflows!R27</f>
        <v>1033</v>
      </c>
      <c r="S7" s="169">
        <f>Cashflows!S27</f>
        <v>30971</v>
      </c>
      <c r="T7" s="169">
        <f>Cashflows!T27</f>
        <v>-15344</v>
      </c>
      <c r="U7" s="171">
        <f>Cashflows!U27</f>
        <v>-8494</v>
      </c>
      <c r="V7" s="169">
        <f>Cashflows!V27</f>
        <v>-10392</v>
      </c>
      <c r="W7" s="169">
        <f>Cashflows!W27</f>
        <v>-3980</v>
      </c>
      <c r="X7" s="169">
        <f>Cashflows!X27</f>
        <v>3295</v>
      </c>
      <c r="Y7" s="169">
        <f>Cashflows!Y27</f>
        <v>-4147</v>
      </c>
      <c r="Z7" s="171">
        <f>Cashflows!Z27</f>
        <v>-15224</v>
      </c>
      <c r="AA7" s="169">
        <f>Cashflows!AA27</f>
        <v>-479</v>
      </c>
      <c r="AB7" s="169">
        <f>Cashflows!AB27</f>
        <v>10939</v>
      </c>
      <c r="AC7" s="169">
        <f>Cashflows!AC27</f>
        <v>3410</v>
      </c>
      <c r="AD7" s="169">
        <f>Cashflows!AD27</f>
        <v>-12052</v>
      </c>
      <c r="AE7" s="171">
        <f>Cashflows!AE27</f>
        <v>1818</v>
      </c>
      <c r="AF7" s="169">
        <f>Cashflows!AF27</f>
        <v>-1827</v>
      </c>
      <c r="AG7" s="169">
        <f>Cashflows!AG27</f>
        <v>2535</v>
      </c>
      <c r="AH7" s="169">
        <f>Cashflows!AH27</f>
        <v>810</v>
      </c>
      <c r="AI7" s="169">
        <f>Cashflows!AI27</f>
        <v>455</v>
      </c>
      <c r="AJ7" s="171">
        <f>Cashflows!AJ27</f>
        <v>1973</v>
      </c>
      <c r="AK7" s="163">
        <f>Cashflows!AK27</f>
        <v>5293</v>
      </c>
      <c r="AL7" s="169">
        <f>Cashflows!AL27</f>
        <v>6485</v>
      </c>
      <c r="AM7" s="169">
        <f>Cashflows!AM27</f>
        <v>-4146</v>
      </c>
      <c r="AN7" s="169">
        <f>Cashflows!AN27</f>
        <v>21319</v>
      </c>
      <c r="AO7" s="171">
        <f>Cashflows!AO27</f>
        <v>28951</v>
      </c>
      <c r="AP7" s="248">
        <f>Cashflows!AP27</f>
        <v>3976</v>
      </c>
      <c r="AQ7" s="277">
        <f>Cashflows!AQ27</f>
        <v>-21207</v>
      </c>
      <c r="AR7" s="169">
        <f>Cashflows!AR27</f>
        <v>482</v>
      </c>
      <c r="AS7" s="169">
        <f>Cashflows!AS27</f>
        <v>-5061</v>
      </c>
      <c r="AT7" s="171">
        <f>Cashflows!AT27</f>
        <v>-21810</v>
      </c>
      <c r="AU7" s="248">
        <f>Cashflows!AU27</f>
        <v>69</v>
      </c>
      <c r="AY7" s="308">
        <f>ROUND(SUM(AP7:AS7)-AT7,0)</f>
        <v>0</v>
      </c>
    </row>
    <row r="8" spans="1:51" ht="15" customHeight="1" x14ac:dyDescent="0.25">
      <c r="A8" s="145" t="s">
        <v>180</v>
      </c>
      <c r="B8" s="172">
        <f t="shared" ref="B8:F8" si="0">SUM(B4:B7)</f>
        <v>28145</v>
      </c>
      <c r="C8" s="172">
        <f t="shared" si="0"/>
        <v>-6410</v>
      </c>
      <c r="D8" s="172">
        <f t="shared" si="0"/>
        <v>-6565</v>
      </c>
      <c r="E8" s="172">
        <f t="shared" si="0"/>
        <v>47501</v>
      </c>
      <c r="F8" s="173">
        <f t="shared" si="0"/>
        <v>62671</v>
      </c>
      <c r="G8" s="172">
        <f t="shared" ref="G8:K8" si="1">SUM(G4:G7)</f>
        <v>6799.4307062480002</v>
      </c>
      <c r="H8" s="172">
        <f t="shared" si="1"/>
        <v>-3112</v>
      </c>
      <c r="I8" s="172">
        <f t="shared" si="1"/>
        <v>23724</v>
      </c>
      <c r="J8" s="172">
        <f t="shared" si="1"/>
        <v>48677</v>
      </c>
      <c r="K8" s="173">
        <f t="shared" si="1"/>
        <v>76088</v>
      </c>
      <c r="L8" s="172">
        <f>SUM(L4:L7)</f>
        <v>16032</v>
      </c>
      <c r="M8" s="172">
        <f t="shared" ref="M8:P8" si="2">SUM(M4:M7)</f>
        <v>33436</v>
      </c>
      <c r="N8" s="172">
        <f t="shared" si="2"/>
        <v>33954</v>
      </c>
      <c r="O8" s="172">
        <f t="shared" si="2"/>
        <v>53526</v>
      </c>
      <c r="P8" s="174">
        <f t="shared" si="2"/>
        <v>136947</v>
      </c>
      <c r="Q8" s="172">
        <f>SUM(Q4:Q7)</f>
        <v>51960</v>
      </c>
      <c r="R8" s="172">
        <f>SUM(R4:R7)</f>
        <v>22494</v>
      </c>
      <c r="S8" s="172">
        <f>SUM(S4:S7)</f>
        <v>20600</v>
      </c>
      <c r="T8" s="172">
        <f t="shared" ref="T8:U8" si="3">SUM(T4:T7)</f>
        <v>40192</v>
      </c>
      <c r="U8" s="174">
        <f t="shared" si="3"/>
        <v>135248</v>
      </c>
      <c r="V8" s="172">
        <f>SUM(V4:V7)</f>
        <v>43536</v>
      </c>
      <c r="W8" s="172">
        <f>SUM(W4:W7)</f>
        <v>20172</v>
      </c>
      <c r="X8" s="172">
        <f>SUM(X4:X7)</f>
        <v>19345</v>
      </c>
      <c r="Y8" s="172">
        <f t="shared" ref="Y8:Z8" si="4">SUM(Y4:Y7)</f>
        <v>41839</v>
      </c>
      <c r="Z8" s="174">
        <f t="shared" si="4"/>
        <v>124892</v>
      </c>
      <c r="AA8" s="172">
        <f>SUM(AA4:AA7)</f>
        <v>45006</v>
      </c>
      <c r="AB8" s="172">
        <f>SUM(AB4:AB7)</f>
        <v>14845</v>
      </c>
      <c r="AC8" s="172">
        <f>SUM(AC4:AC7)</f>
        <v>38258</v>
      </c>
      <c r="AD8" s="172">
        <f t="shared" ref="AD8:AE8" si="5">SUM(AD4:AD7)</f>
        <v>21778</v>
      </c>
      <c r="AE8" s="174">
        <f t="shared" si="5"/>
        <v>119887</v>
      </c>
      <c r="AF8" s="172">
        <f>SUM(AF4:AF7)</f>
        <v>63582</v>
      </c>
      <c r="AG8" s="172">
        <f>SUM(AG4:AG7)</f>
        <v>13232</v>
      </c>
      <c r="AH8" s="172">
        <f t="shared" ref="AH8:AJ8" si="6">SUM(AH4:AH7)</f>
        <v>35222</v>
      </c>
      <c r="AI8" s="172">
        <f t="shared" si="6"/>
        <v>55867</v>
      </c>
      <c r="AJ8" s="174">
        <f t="shared" si="6"/>
        <v>167903</v>
      </c>
      <c r="AK8" s="160">
        <f>SUM(AK4:AK7)</f>
        <v>69366</v>
      </c>
      <c r="AL8" s="172">
        <f>SUM(AL4:AL7)</f>
        <v>-1480</v>
      </c>
      <c r="AM8" s="172">
        <f t="shared" ref="AM8:AO8" si="7">SUM(AM4:AM7)</f>
        <v>21321</v>
      </c>
      <c r="AN8" s="172">
        <f t="shared" si="7"/>
        <v>110933</v>
      </c>
      <c r="AO8" s="174">
        <f t="shared" si="7"/>
        <v>200140</v>
      </c>
      <c r="AP8" s="247">
        <f>SUM(AP4:AP7)</f>
        <v>8745</v>
      </c>
      <c r="AQ8" s="278">
        <f>SUM(AQ4:AQ7)</f>
        <v>-44191</v>
      </c>
      <c r="AR8" s="172">
        <f t="shared" ref="AR8:AT8" si="8">SUM(AR4:AR7)</f>
        <v>3765</v>
      </c>
      <c r="AS8" s="172">
        <f t="shared" si="8"/>
        <v>141615.76</v>
      </c>
      <c r="AT8" s="174">
        <f t="shared" si="8"/>
        <v>109935</v>
      </c>
      <c r="AU8" s="247">
        <f>SUM(AU4:AU7)</f>
        <v>793</v>
      </c>
      <c r="AY8" s="308">
        <f>ROUND(SUM(AP8:AS8)-AT8,0)</f>
        <v>0</v>
      </c>
    </row>
    <row r="9" spans="1:51" ht="15" customHeight="1" x14ac:dyDescent="0.25">
      <c r="F9" s="175"/>
      <c r="K9" s="175"/>
      <c r="P9" s="176"/>
      <c r="U9" s="176"/>
      <c r="Z9" s="176"/>
      <c r="AE9" s="176"/>
      <c r="AJ9" s="176"/>
      <c r="AO9" s="176"/>
      <c r="AT9" s="176"/>
      <c r="AY9" s="308"/>
    </row>
    <row r="10" spans="1:51" ht="15" customHeight="1" x14ac:dyDescent="0.25">
      <c r="A10" s="12" t="s">
        <v>181</v>
      </c>
      <c r="AY10" s="308"/>
    </row>
    <row r="11" spans="1:51" ht="15" customHeight="1" x14ac:dyDescent="0.25">
      <c r="A11" s="177"/>
    </row>
    <row r="12" spans="1:51" ht="15" customHeight="1" x14ac:dyDescent="0.25">
      <c r="AJ12" s="178"/>
      <c r="AO12" s="178"/>
      <c r="AT12" s="178"/>
    </row>
    <row r="13" spans="1:51" ht="15" customHeight="1" x14ac:dyDescent="0.25"/>
    <row r="14" spans="1:51" ht="15" customHeight="1" x14ac:dyDescent="0.25"/>
    <row r="15" spans="1:51" ht="15" customHeight="1" x14ac:dyDescent="0.25">
      <c r="AQ15" s="293"/>
    </row>
    <row r="16" spans="1:51" ht="15" customHeight="1" x14ac:dyDescent="0.25"/>
    <row r="17" spans="38:43" ht="15" customHeight="1" x14ac:dyDescent="0.25">
      <c r="AL17" s="178"/>
      <c r="AQ17" s="279"/>
    </row>
    <row r="18" spans="38:43" ht="15" customHeight="1" x14ac:dyDescent="0.25"/>
    <row r="19" spans="38:43" ht="15" customHeight="1" x14ac:dyDescent="0.25"/>
    <row r="20" spans="38:43" ht="15" customHeight="1" x14ac:dyDescent="0.25"/>
    <row r="21" spans="38:43" ht="15" customHeight="1" x14ac:dyDescent="0.25"/>
    <row r="22" spans="38:43" ht="15" customHeight="1" x14ac:dyDescent="0.25"/>
    <row r="23" spans="38:43" ht="15" customHeight="1" x14ac:dyDescent="0.25"/>
    <row r="24" spans="38:43" ht="15" customHeight="1" x14ac:dyDescent="0.25"/>
    <row r="25" spans="38:43" ht="15" customHeight="1" x14ac:dyDescent="0.25"/>
    <row r="26" spans="38:43" ht="15" customHeight="1" x14ac:dyDescent="0.25"/>
    <row r="27" spans="38:43" ht="15" customHeight="1" x14ac:dyDescent="0.25"/>
    <row r="28" spans="38:43" ht="15" customHeight="1" x14ac:dyDescent="0.25"/>
    <row r="29" spans="38:43" ht="15" customHeight="1" x14ac:dyDescent="0.25"/>
    <row r="30" spans="38:43" ht="15" customHeight="1" x14ac:dyDescent="0.25"/>
    <row r="31" spans="38:43" ht="15" customHeight="1" x14ac:dyDescent="0.25"/>
    <row r="32" spans="38:4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82"/>
  <sheetViews>
    <sheetView showGridLines="0" zoomScale="90" zoomScaleNormal="90" workbookViewId="0">
      <pane xSplit="1" topLeftCell="H1" activePane="topRight" state="frozen"/>
      <selection pane="topRight" activeCell="M1" sqref="M1:M1048576"/>
    </sheetView>
  </sheetViews>
  <sheetFormatPr defaultColWidth="12.6640625" defaultRowHeight="13.2" x14ac:dyDescent="0.25"/>
  <cols>
    <col min="1" max="1" width="145.77734375" style="2" customWidth="1"/>
    <col min="2" max="2" width="10.21875" style="2" bestFit="1" customWidth="1"/>
    <col min="3" max="5" width="12.6640625" style="2"/>
    <col min="6" max="6" width="12.6640625" style="2" bestFit="1" customWidth="1"/>
    <col min="7" max="7" width="12.6640625" style="2" customWidth="1"/>
    <col min="8" max="8" width="12.6640625" style="151"/>
    <col min="9" max="10" width="12.6640625" style="2"/>
    <col min="11" max="11" width="14" style="2" bestFit="1" customWidth="1"/>
    <col min="12" max="12" width="12.6640625" style="2" customWidth="1"/>
    <col min="13" max="13" width="4.33203125" style="151" customWidth="1"/>
    <col min="14" max="14" width="12.6640625" style="151"/>
    <col min="15" max="16384" width="12.6640625" style="2"/>
  </cols>
  <sheetData>
    <row r="1" spans="1:12" x14ac:dyDescent="0.25">
      <c r="A1" s="10" t="s">
        <v>182</v>
      </c>
    </row>
    <row r="2" spans="1:12" x14ac:dyDescent="0.25">
      <c r="A2" s="5" t="s">
        <v>1</v>
      </c>
    </row>
    <row r="3" spans="1:12" ht="24" customHeight="1" x14ac:dyDescent="0.25">
      <c r="A3" s="13"/>
      <c r="B3" s="14" t="s">
        <v>95</v>
      </c>
      <c r="C3" s="14" t="s">
        <v>96</v>
      </c>
      <c r="D3" s="14" t="s">
        <v>97</v>
      </c>
      <c r="E3" s="14" t="s">
        <v>98</v>
      </c>
      <c r="F3" s="110" t="s">
        <v>99</v>
      </c>
      <c r="G3" s="14" t="s">
        <v>100</v>
      </c>
      <c r="H3" s="269" t="s">
        <v>101</v>
      </c>
      <c r="I3" s="14" t="s">
        <v>102</v>
      </c>
      <c r="J3" s="14" t="s">
        <v>103</v>
      </c>
      <c r="K3" s="110" t="s">
        <v>104</v>
      </c>
      <c r="L3" s="14" t="s">
        <v>105</v>
      </c>
    </row>
    <row r="4" spans="1:12" ht="15" customHeight="1" x14ac:dyDescent="0.25">
      <c r="A4" s="1" t="s">
        <v>183</v>
      </c>
      <c r="B4" s="143">
        <v>184024</v>
      </c>
      <c r="C4" s="143">
        <f>'P&amp;L'!AL11</f>
        <v>184975</v>
      </c>
      <c r="D4" s="143">
        <f>'P&amp;L'!AM11</f>
        <v>179607</v>
      </c>
      <c r="E4" s="143">
        <f>'P&amp;L'!AN11</f>
        <v>246594</v>
      </c>
      <c r="F4" s="139">
        <f>'P&amp;L'!AO11</f>
        <v>795200</v>
      </c>
      <c r="G4" s="143">
        <v>181509</v>
      </c>
      <c r="H4" s="254">
        <f>'P&amp;L'!AQ11</f>
        <v>199782</v>
      </c>
      <c r="I4" s="143">
        <f>'P&amp;L'!AR11</f>
        <v>205127</v>
      </c>
      <c r="J4" s="143">
        <f>'P&amp;L'!AS11</f>
        <v>276626</v>
      </c>
      <c r="K4" s="139">
        <f>'P&amp;L'!AT11</f>
        <v>863044</v>
      </c>
      <c r="L4" s="143">
        <v>217223</v>
      </c>
    </row>
    <row r="5" spans="1:12" ht="15" customHeight="1" x14ac:dyDescent="0.25">
      <c r="A5" s="142" t="s">
        <v>184</v>
      </c>
      <c r="B5" s="143">
        <v>32893</v>
      </c>
      <c r="C5" s="143">
        <f>-'P&amp;L'!AL9</f>
        <v>29550</v>
      </c>
      <c r="D5" s="143">
        <f>-'P&amp;L'!AM9</f>
        <v>33771</v>
      </c>
      <c r="E5" s="143">
        <f>-'P&amp;L'!AN9</f>
        <v>36810</v>
      </c>
      <c r="F5" s="140">
        <f>-'P&amp;L'!AO9</f>
        <v>133024</v>
      </c>
      <c r="G5" s="143">
        <v>39109</v>
      </c>
      <c r="H5" s="254">
        <f>-'P&amp;L'!AQ9</f>
        <v>40435</v>
      </c>
      <c r="I5" s="143">
        <f>-'P&amp;L'!AR9</f>
        <v>40268</v>
      </c>
      <c r="J5" s="143">
        <f>-'P&amp;L'!AS9</f>
        <v>39750</v>
      </c>
      <c r="K5" s="140">
        <f>-'P&amp;L'!AT9</f>
        <v>159562</v>
      </c>
      <c r="L5" s="143">
        <v>36665</v>
      </c>
    </row>
    <row r="6" spans="1:12" ht="15" customHeight="1" thickBot="1" x14ac:dyDescent="0.3">
      <c r="A6" s="145" t="s">
        <v>185</v>
      </c>
      <c r="B6" s="78">
        <f>B4+B5</f>
        <v>216917</v>
      </c>
      <c r="C6" s="78">
        <f>C4+C5</f>
        <v>214525</v>
      </c>
      <c r="D6" s="78">
        <f t="shared" ref="D6" si="0">D4+D5</f>
        <v>213378</v>
      </c>
      <c r="E6" s="78">
        <f t="shared" ref="E6:I6" si="1">E4+E5</f>
        <v>283404</v>
      </c>
      <c r="F6" s="131">
        <f t="shared" si="1"/>
        <v>928224</v>
      </c>
      <c r="G6" s="78">
        <f t="shared" si="1"/>
        <v>220618</v>
      </c>
      <c r="H6" s="280">
        <f t="shared" si="1"/>
        <v>240217</v>
      </c>
      <c r="I6" s="78">
        <f t="shared" si="1"/>
        <v>245395</v>
      </c>
      <c r="J6" s="78">
        <f>J4+J5</f>
        <v>316376</v>
      </c>
      <c r="K6" s="131">
        <f>K4+K5</f>
        <v>1022606</v>
      </c>
      <c r="L6" s="78">
        <f t="shared" ref="L6" si="2">L4+L5</f>
        <v>253888</v>
      </c>
    </row>
    <row r="7" spans="1:12" ht="13.8" thickTop="1" x14ac:dyDescent="0.25">
      <c r="B7" s="31"/>
      <c r="C7" s="31"/>
      <c r="D7" s="31"/>
      <c r="E7" s="31"/>
      <c r="F7" s="150"/>
      <c r="G7" s="31"/>
      <c r="H7" s="281"/>
      <c r="I7" s="31"/>
      <c r="J7" s="31"/>
      <c r="K7" s="150"/>
      <c r="L7" s="31"/>
    </row>
    <row r="8" spans="1:12" hidden="1" x14ac:dyDescent="0.25"/>
    <row r="9" spans="1:12" x14ac:dyDescent="0.25">
      <c r="A9" s="13" t="s">
        <v>190</v>
      </c>
      <c r="B9" s="14" t="s">
        <v>95</v>
      </c>
      <c r="C9" s="14" t="s">
        <v>96</v>
      </c>
      <c r="D9" s="14" t="s">
        <v>97</v>
      </c>
      <c r="E9" s="14" t="s">
        <v>98</v>
      </c>
      <c r="F9" s="110" t="s">
        <v>99</v>
      </c>
      <c r="G9" s="14" t="s">
        <v>100</v>
      </c>
      <c r="H9" s="269" t="s">
        <v>96</v>
      </c>
      <c r="I9" s="14" t="s">
        <v>102</v>
      </c>
      <c r="J9" s="14" t="s">
        <v>103</v>
      </c>
      <c r="K9" s="110" t="s">
        <v>104</v>
      </c>
      <c r="L9" s="14" t="s">
        <v>105</v>
      </c>
    </row>
    <row r="10" spans="1:12" ht="15" customHeight="1" x14ac:dyDescent="0.25">
      <c r="A10" s="1" t="s">
        <v>106</v>
      </c>
      <c r="F10" s="95"/>
      <c r="K10" s="95"/>
    </row>
    <row r="11" spans="1:12" ht="15" customHeight="1" x14ac:dyDescent="0.25">
      <c r="A11" s="127" t="s">
        <v>191</v>
      </c>
      <c r="B11" s="38">
        <v>46679</v>
      </c>
      <c r="C11" s="38">
        <v>54667</v>
      </c>
      <c r="D11" s="38">
        <v>41170</v>
      </c>
      <c r="E11" s="38">
        <v>59801</v>
      </c>
      <c r="F11" s="140">
        <f>SUM(B11:E11)</f>
        <v>202317</v>
      </c>
      <c r="G11" s="38">
        <v>38021</v>
      </c>
      <c r="H11" s="148">
        <v>44590</v>
      </c>
      <c r="I11" s="38">
        <v>49813</v>
      </c>
      <c r="J11" s="38">
        <v>76583</v>
      </c>
      <c r="K11" s="140">
        <f>SUM(G11:J11)</f>
        <v>209007</v>
      </c>
      <c r="L11" s="38">
        <v>50872</v>
      </c>
    </row>
    <row r="12" spans="1:12" ht="15" customHeight="1" x14ac:dyDescent="0.25">
      <c r="A12" s="127" t="s">
        <v>192</v>
      </c>
      <c r="B12" s="31">
        <v>463888</v>
      </c>
      <c r="C12" s="31">
        <v>440423</v>
      </c>
      <c r="D12" s="31">
        <v>405751</v>
      </c>
      <c r="E12" s="31">
        <v>504624</v>
      </c>
      <c r="F12" s="139">
        <f>SUM(B12:E12)</f>
        <v>1814686</v>
      </c>
      <c r="G12" s="31">
        <v>406995</v>
      </c>
      <c r="H12" s="281">
        <v>424344</v>
      </c>
      <c r="I12" s="31">
        <v>419380</v>
      </c>
      <c r="J12" s="31">
        <v>489719</v>
      </c>
      <c r="K12" s="139">
        <f>SUM(G12:J12)</f>
        <v>1740438</v>
      </c>
      <c r="L12" s="31">
        <v>399183</v>
      </c>
    </row>
    <row r="13" spans="1:12" ht="15" customHeight="1" thickBot="1" x14ac:dyDescent="0.3">
      <c r="A13" s="1" t="s">
        <v>188</v>
      </c>
      <c r="B13" s="76">
        <f>SUM(B11:B12)</f>
        <v>510567</v>
      </c>
      <c r="C13" s="76">
        <f t="shared" ref="C13:L13" si="3">SUM(C11:C12)</f>
        <v>495090</v>
      </c>
      <c r="D13" s="76">
        <f t="shared" si="3"/>
        <v>446921</v>
      </c>
      <c r="E13" s="76">
        <f t="shared" si="3"/>
        <v>564425</v>
      </c>
      <c r="F13" s="131">
        <f t="shared" si="3"/>
        <v>2017003</v>
      </c>
      <c r="G13" s="76">
        <f t="shared" si="3"/>
        <v>445016</v>
      </c>
      <c r="H13" s="76">
        <f t="shared" si="3"/>
        <v>468934</v>
      </c>
      <c r="I13" s="76">
        <f t="shared" si="3"/>
        <v>469193</v>
      </c>
      <c r="J13" s="76">
        <f t="shared" si="3"/>
        <v>566302</v>
      </c>
      <c r="K13" s="131">
        <f t="shared" si="3"/>
        <v>1949445</v>
      </c>
      <c r="L13" s="76">
        <f t="shared" si="3"/>
        <v>450055</v>
      </c>
    </row>
    <row r="14" spans="1:12" ht="15" customHeight="1" thickTop="1" x14ac:dyDescent="0.25">
      <c r="F14" s="129"/>
      <c r="K14" s="129"/>
    </row>
    <row r="15" spans="1:12" ht="15" customHeight="1" x14ac:dyDescent="0.25">
      <c r="A15" s="1" t="s">
        <v>189</v>
      </c>
      <c r="F15" s="129"/>
      <c r="K15" s="129"/>
    </row>
    <row r="16" spans="1:12" ht="15" customHeight="1" x14ac:dyDescent="0.25">
      <c r="A16" s="127" t="s">
        <v>191</v>
      </c>
      <c r="B16" s="38">
        <f t="shared" ref="B16:E17" si="4">B11-B21</f>
        <v>15850</v>
      </c>
      <c r="C16" s="38">
        <f t="shared" si="4"/>
        <v>18111</v>
      </c>
      <c r="D16" s="38">
        <f t="shared" si="4"/>
        <v>4277</v>
      </c>
      <c r="E16" s="38">
        <f t="shared" si="4"/>
        <v>2719</v>
      </c>
      <c r="F16" s="140">
        <f>SUM(B16:E16)</f>
        <v>40957</v>
      </c>
      <c r="G16" s="38">
        <f t="shared" ref="G16:J17" si="5">G11-G21</f>
        <v>669</v>
      </c>
      <c r="H16" s="148">
        <f t="shared" si="5"/>
        <v>1072</v>
      </c>
      <c r="I16" s="38">
        <f t="shared" si="5"/>
        <v>1377</v>
      </c>
      <c r="J16" s="38">
        <f t="shared" si="5"/>
        <v>2429</v>
      </c>
      <c r="K16" s="140">
        <f>SUM(G16:J16)</f>
        <v>5547</v>
      </c>
      <c r="L16" s="38">
        <v>-703</v>
      </c>
    </row>
    <row r="17" spans="1:12" ht="15" customHeight="1" x14ac:dyDescent="0.25">
      <c r="A17" s="127" t="s">
        <v>192</v>
      </c>
      <c r="B17" s="38">
        <f t="shared" si="4"/>
        <v>277800</v>
      </c>
      <c r="C17" s="38">
        <f t="shared" si="4"/>
        <v>262454</v>
      </c>
      <c r="D17" s="38">
        <f t="shared" si="4"/>
        <v>229266</v>
      </c>
      <c r="E17" s="38">
        <f t="shared" si="4"/>
        <v>278302</v>
      </c>
      <c r="F17" s="139">
        <f>SUM(B17:E17)</f>
        <v>1047822</v>
      </c>
      <c r="G17" s="38">
        <f t="shared" si="5"/>
        <v>223729</v>
      </c>
      <c r="H17" s="148">
        <f t="shared" si="5"/>
        <v>227645</v>
      </c>
      <c r="I17" s="38">
        <f t="shared" si="5"/>
        <v>222421</v>
      </c>
      <c r="J17" s="38">
        <f t="shared" si="5"/>
        <v>247497</v>
      </c>
      <c r="K17" s="139">
        <f>SUM(G17:J17)</f>
        <v>921292</v>
      </c>
      <c r="L17" s="38">
        <v>-195464</v>
      </c>
    </row>
    <row r="18" spans="1:12" ht="15" customHeight="1" thickBot="1" x14ac:dyDescent="0.3">
      <c r="A18" s="1" t="s">
        <v>188</v>
      </c>
      <c r="B18" s="76">
        <f>SUM(B16:B17)</f>
        <v>293650</v>
      </c>
      <c r="C18" s="76">
        <f t="shared" ref="C18:L18" si="6">SUM(C16:C17)</f>
        <v>280565</v>
      </c>
      <c r="D18" s="76">
        <f t="shared" si="6"/>
        <v>233543</v>
      </c>
      <c r="E18" s="76">
        <f t="shared" si="6"/>
        <v>281021</v>
      </c>
      <c r="F18" s="131">
        <f t="shared" si="6"/>
        <v>1088779</v>
      </c>
      <c r="G18" s="76">
        <f t="shared" si="6"/>
        <v>224398</v>
      </c>
      <c r="H18" s="76">
        <f t="shared" si="6"/>
        <v>228717</v>
      </c>
      <c r="I18" s="76">
        <f t="shared" si="6"/>
        <v>223798</v>
      </c>
      <c r="J18" s="76">
        <f t="shared" si="6"/>
        <v>249926</v>
      </c>
      <c r="K18" s="131">
        <f t="shared" si="6"/>
        <v>926839</v>
      </c>
      <c r="L18" s="76">
        <f t="shared" si="6"/>
        <v>-196167</v>
      </c>
    </row>
    <row r="19" spans="1:12" ht="15" customHeight="1" thickTop="1" x14ac:dyDescent="0.25">
      <c r="F19" s="129"/>
      <c r="K19" s="129"/>
    </row>
    <row r="20" spans="1:12" ht="15" customHeight="1" x14ac:dyDescent="0.25">
      <c r="A20" s="1" t="s">
        <v>185</v>
      </c>
      <c r="F20" s="129"/>
      <c r="K20" s="129"/>
    </row>
    <row r="21" spans="1:12" ht="15" customHeight="1" x14ac:dyDescent="0.25">
      <c r="A21" s="127" t="s">
        <v>191</v>
      </c>
      <c r="B21" s="38">
        <v>30829</v>
      </c>
      <c r="C21" s="38">
        <v>36556</v>
      </c>
      <c r="D21" s="38">
        <v>36893</v>
      </c>
      <c r="E21" s="38">
        <v>57082</v>
      </c>
      <c r="F21" s="130">
        <f>SUM(B21:E21)</f>
        <v>161360</v>
      </c>
      <c r="G21" s="38">
        <v>37352</v>
      </c>
      <c r="H21" s="148">
        <v>43518</v>
      </c>
      <c r="I21" s="38">
        <v>48436</v>
      </c>
      <c r="J21" s="38">
        <v>74154</v>
      </c>
      <c r="K21" s="130">
        <f>SUM(G21:J21)</f>
        <v>203460</v>
      </c>
      <c r="L21" s="38">
        <v>50169</v>
      </c>
    </row>
    <row r="22" spans="1:12" ht="15" customHeight="1" x14ac:dyDescent="0.25">
      <c r="A22" s="127" t="s">
        <v>192</v>
      </c>
      <c r="B22" s="31">
        <v>186088</v>
      </c>
      <c r="C22" s="31">
        <v>177969</v>
      </c>
      <c r="D22" s="31">
        <v>176485</v>
      </c>
      <c r="E22" s="31">
        <v>226322</v>
      </c>
      <c r="F22" s="130">
        <f>SUM(B22:E22)</f>
        <v>766864</v>
      </c>
      <c r="G22" s="38">
        <v>183266</v>
      </c>
      <c r="H22" s="148">
        <v>196699</v>
      </c>
      <c r="I22" s="38">
        <v>196959</v>
      </c>
      <c r="J22" s="38">
        <v>242222</v>
      </c>
      <c r="K22" s="130">
        <f>SUM(G22:J22)</f>
        <v>819146</v>
      </c>
      <c r="L22" s="38">
        <v>203719</v>
      </c>
    </row>
    <row r="23" spans="1:12" ht="15" customHeight="1" thickBot="1" x14ac:dyDescent="0.3">
      <c r="A23" s="1" t="s">
        <v>188</v>
      </c>
      <c r="B23" s="78">
        <f>SUM(B21:B22)</f>
        <v>216917</v>
      </c>
      <c r="C23" s="78">
        <f t="shared" ref="C23:L23" si="7">SUM(C21:C22)</f>
        <v>214525</v>
      </c>
      <c r="D23" s="78">
        <f t="shared" si="7"/>
        <v>213378</v>
      </c>
      <c r="E23" s="78">
        <f t="shared" si="7"/>
        <v>283404</v>
      </c>
      <c r="F23" s="131">
        <f t="shared" si="7"/>
        <v>928224</v>
      </c>
      <c r="G23" s="78">
        <f t="shared" si="7"/>
        <v>220618</v>
      </c>
      <c r="H23" s="78">
        <f t="shared" si="7"/>
        <v>240217</v>
      </c>
      <c r="I23" s="78">
        <f t="shared" si="7"/>
        <v>245395</v>
      </c>
      <c r="J23" s="78">
        <f t="shared" si="7"/>
        <v>316376</v>
      </c>
      <c r="K23" s="131">
        <f t="shared" si="7"/>
        <v>1022606</v>
      </c>
      <c r="L23" s="78">
        <f t="shared" si="7"/>
        <v>253888</v>
      </c>
    </row>
    <row r="24" spans="1:12" ht="15" customHeight="1" thickTop="1" x14ac:dyDescent="0.25">
      <c r="F24" s="95"/>
      <c r="K24" s="95"/>
    </row>
    <row r="25" spans="1:12" ht="15" customHeight="1" x14ac:dyDescent="0.25">
      <c r="B25" s="294"/>
      <c r="C25" s="294"/>
    </row>
    <row r="26" spans="1:12" ht="290.85000000000002" customHeight="1" x14ac:dyDescent="0.25">
      <c r="A26" s="141" t="s">
        <v>193</v>
      </c>
      <c r="B26" s="141"/>
      <c r="C26" s="141"/>
      <c r="D26" s="141"/>
      <c r="E26" s="141"/>
      <c r="F26" s="141"/>
      <c r="G26" s="141"/>
      <c r="H26" s="282"/>
      <c r="I26" s="141"/>
      <c r="J26" s="141"/>
      <c r="K26" s="141"/>
      <c r="L26" s="141"/>
    </row>
    <row r="27" spans="1:12" ht="15" customHeight="1" x14ac:dyDescent="0.25"/>
    <row r="28" spans="1:12" ht="15" customHeight="1" x14ac:dyDescent="0.25"/>
    <row r="29" spans="1:12" ht="15" customHeight="1" x14ac:dyDescent="0.25"/>
    <row r="30" spans="1:12" ht="15" customHeight="1" x14ac:dyDescent="0.25"/>
    <row r="31" spans="1:12" ht="15" customHeight="1" x14ac:dyDescent="0.25"/>
    <row r="32" spans="1:1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sheetData>
  <phoneticPr fontId="14" type="noConversion"/>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W92"/>
  <sheetViews>
    <sheetView showGridLines="0" zoomScale="95" zoomScaleNormal="95" workbookViewId="0">
      <pane xSplit="11" topLeftCell="AK1" activePane="topRight" state="frozen"/>
      <selection pane="topRight" activeCell="AQ43" sqref="AQ43"/>
    </sheetView>
  </sheetViews>
  <sheetFormatPr defaultColWidth="12.6640625" defaultRowHeight="13.2" outlineLevelCol="1" x14ac:dyDescent="0.25"/>
  <cols>
    <col min="1" max="1" width="47.77734375" style="142" bestFit="1" customWidth="1"/>
    <col min="2" max="11" width="12.6640625" style="142" hidden="1" customWidth="1" outlineLevel="1"/>
    <col min="12" max="12" width="12.6640625" style="142" hidden="1" customWidth="1" outlineLevel="1" collapsed="1"/>
    <col min="13" max="13" width="12.6640625" style="142" hidden="1" customWidth="1" outlineLevel="1"/>
    <col min="14" max="14" width="12.6640625" style="142" hidden="1" customWidth="1" outlineLevel="1" collapsed="1"/>
    <col min="15" max="18" width="12.6640625" style="142" hidden="1" customWidth="1" outlineLevel="1"/>
    <col min="19" max="19" width="0" style="142" hidden="1" customWidth="1" outlineLevel="1"/>
    <col min="20" max="20" width="0" style="142" hidden="1" customWidth="1" collapsed="1"/>
    <col min="21" max="23" width="0" style="142" hidden="1" customWidth="1"/>
    <col min="24" max="24" width="12.6640625" style="142" hidden="1" customWidth="1"/>
    <col min="25" max="32" width="0" style="142" hidden="1" customWidth="1"/>
    <col min="33" max="33" width="12.6640625" style="142" hidden="1" customWidth="1"/>
    <col min="34" max="36" width="0" style="142" hidden="1" customWidth="1"/>
    <col min="37" max="47" width="12.6640625" style="142"/>
    <col min="48" max="48" width="12.6640625" style="147"/>
    <col min="49" max="16384" width="12.6640625" style="142"/>
  </cols>
  <sheetData>
    <row r="1" spans="1:49" ht="14.1" customHeight="1" x14ac:dyDescent="0.25">
      <c r="A1" s="179" t="s">
        <v>194</v>
      </c>
    </row>
    <row r="2" spans="1:49" x14ac:dyDescent="0.25">
      <c r="A2" s="12" t="s">
        <v>1</v>
      </c>
    </row>
    <row r="3" spans="1:49" ht="24" customHeight="1" x14ac:dyDescent="0.25">
      <c r="A3" s="145"/>
      <c r="B3" s="118" t="s">
        <v>60</v>
      </c>
      <c r="C3" s="118" t="s">
        <v>61</v>
      </c>
      <c r="D3" s="118" t="s">
        <v>62</v>
      </c>
      <c r="E3" s="118" t="s">
        <v>63</v>
      </c>
      <c r="F3" s="180" t="s">
        <v>64</v>
      </c>
      <c r="G3" s="118" t="s">
        <v>65</v>
      </c>
      <c r="H3" s="118" t="s">
        <v>66</v>
      </c>
      <c r="I3" s="118" t="s">
        <v>67</v>
      </c>
      <c r="J3" s="118" t="s">
        <v>68</v>
      </c>
      <c r="K3" s="180" t="s">
        <v>69</v>
      </c>
      <c r="L3" s="118" t="s">
        <v>70</v>
      </c>
      <c r="M3" s="118" t="s">
        <v>71</v>
      </c>
      <c r="N3" s="118" t="s">
        <v>72</v>
      </c>
      <c r="O3" s="118" t="s">
        <v>73</v>
      </c>
      <c r="P3" s="181" t="s">
        <v>74</v>
      </c>
      <c r="Q3" s="118" t="s">
        <v>75</v>
      </c>
      <c r="R3" s="118" t="s">
        <v>76</v>
      </c>
      <c r="S3" s="118" t="s">
        <v>77</v>
      </c>
      <c r="T3" s="118" t="s">
        <v>78</v>
      </c>
      <c r="U3" s="181" t="s">
        <v>79</v>
      </c>
      <c r="V3" s="118" t="s">
        <v>80</v>
      </c>
      <c r="W3" s="118" t="s">
        <v>81</v>
      </c>
      <c r="X3" s="118" t="s">
        <v>82</v>
      </c>
      <c r="Y3" s="118" t="s">
        <v>83</v>
      </c>
      <c r="Z3" s="181" t="s">
        <v>84</v>
      </c>
      <c r="AA3" s="118" t="s">
        <v>85</v>
      </c>
      <c r="AB3" s="118" t="s">
        <v>86</v>
      </c>
      <c r="AC3" s="118" t="s">
        <v>87</v>
      </c>
      <c r="AD3" s="118" t="s">
        <v>88</v>
      </c>
      <c r="AE3" s="181" t="s">
        <v>89</v>
      </c>
      <c r="AF3" s="118" t="s">
        <v>90</v>
      </c>
      <c r="AG3" s="118" t="s">
        <v>91</v>
      </c>
      <c r="AH3" s="118" t="s">
        <v>92</v>
      </c>
      <c r="AI3" s="118" t="s">
        <v>93</v>
      </c>
      <c r="AJ3" s="181" t="s">
        <v>94</v>
      </c>
      <c r="AK3" s="118" t="s">
        <v>95</v>
      </c>
      <c r="AL3" s="118" t="s">
        <v>96</v>
      </c>
      <c r="AM3" s="118" t="s">
        <v>97</v>
      </c>
      <c r="AN3" s="118" t="s">
        <v>98</v>
      </c>
      <c r="AO3" s="181" t="s">
        <v>99</v>
      </c>
      <c r="AP3" s="118" t="s">
        <v>100</v>
      </c>
      <c r="AQ3" s="118" t="s">
        <v>101</v>
      </c>
      <c r="AR3" s="118" t="s">
        <v>102</v>
      </c>
      <c r="AS3" s="118" t="s">
        <v>103</v>
      </c>
      <c r="AT3" s="181" t="s">
        <v>104</v>
      </c>
      <c r="AU3" s="118" t="s">
        <v>105</v>
      </c>
    </row>
    <row r="4" spans="1:49" ht="15" customHeight="1" x14ac:dyDescent="0.25">
      <c r="A4" s="145" t="s">
        <v>128</v>
      </c>
      <c r="B4" s="182">
        <f>'P&amp;L'!B22</f>
        <v>13617</v>
      </c>
      <c r="C4" s="182">
        <f>'P&amp;L'!C22</f>
        <v>3929</v>
      </c>
      <c r="D4" s="182">
        <f>'P&amp;L'!D22</f>
        <v>5793</v>
      </c>
      <c r="E4" s="182">
        <f>'P&amp;L'!E22</f>
        <v>38938</v>
      </c>
      <c r="F4" s="183">
        <f>'P&amp;L'!F22</f>
        <v>62276</v>
      </c>
      <c r="G4" s="182">
        <f>'P&amp;L'!G22</f>
        <v>18527</v>
      </c>
      <c r="H4" s="182">
        <f>'P&amp;L'!H22</f>
        <v>13339</v>
      </c>
      <c r="I4" s="182">
        <f>'P&amp;L'!I22</f>
        <v>14724</v>
      </c>
      <c r="J4" s="182">
        <f>'P&amp;L'!J22</f>
        <v>40740</v>
      </c>
      <c r="K4" s="183">
        <f>'P&amp;L'!K22</f>
        <v>87329</v>
      </c>
      <c r="L4" s="182">
        <f>'P&amp;L'!L22</f>
        <v>14518</v>
      </c>
      <c r="M4" s="182">
        <f>'P&amp;L'!M22</f>
        <v>7505</v>
      </c>
      <c r="N4" s="182">
        <f>'P&amp;L'!N22</f>
        <v>22269</v>
      </c>
      <c r="O4" s="182">
        <f>'P&amp;L'!O22</f>
        <v>52368</v>
      </c>
      <c r="P4" s="184">
        <f>'P&amp;L'!P22</f>
        <v>96659</v>
      </c>
      <c r="Q4" s="182">
        <f>'P&amp;L'!Q22</f>
        <v>21090</v>
      </c>
      <c r="R4" s="182">
        <f>'P&amp;L'!R22</f>
        <v>14707</v>
      </c>
      <c r="S4" s="182">
        <f>'P&amp;L'!S22</f>
        <v>17948</v>
      </c>
      <c r="T4" s="182">
        <f>'P&amp;L'!T22</f>
        <v>42134</v>
      </c>
      <c r="U4" s="184">
        <f>'P&amp;L'!U22</f>
        <v>95879</v>
      </c>
      <c r="V4" s="182">
        <f>'P&amp;L'!V22</f>
        <v>21401</v>
      </c>
      <c r="W4" s="182">
        <f>'P&amp;L'!W22</f>
        <v>12537</v>
      </c>
      <c r="X4" s="182">
        <f>'P&amp;L'!X22</f>
        <v>20557</v>
      </c>
      <c r="Y4" s="182">
        <f>'P&amp;L'!Y22</f>
        <v>41474</v>
      </c>
      <c r="Z4" s="184">
        <f>'P&amp;L'!Z22</f>
        <v>95969</v>
      </c>
      <c r="AA4" s="182">
        <f>'P&amp;L'!AA22</f>
        <v>16428</v>
      </c>
      <c r="AB4" s="182">
        <f>'P&amp;L'!AB22</f>
        <v>6150</v>
      </c>
      <c r="AC4" s="182">
        <f>'P&amp;L'!AC22</f>
        <v>5293</v>
      </c>
      <c r="AD4" s="182">
        <f>'P&amp;L'!AD22</f>
        <v>46818</v>
      </c>
      <c r="AE4" s="184">
        <f>'P&amp;L'!AE22</f>
        <v>74689</v>
      </c>
      <c r="AF4" s="182">
        <f>'P&amp;L'!AF22</f>
        <v>23450</v>
      </c>
      <c r="AG4" s="182">
        <f>'P&amp;L'!AG22</f>
        <v>15029</v>
      </c>
      <c r="AH4" s="182">
        <f>'P&amp;L'!AH22</f>
        <v>24230</v>
      </c>
      <c r="AI4" s="182">
        <f>'P&amp;L'!AI22</f>
        <v>74938</v>
      </c>
      <c r="AJ4" s="184">
        <f>'P&amp;L'!AJ22</f>
        <v>137647</v>
      </c>
      <c r="AK4" s="182">
        <f>'P&amp;L'!AK22</f>
        <v>21278</v>
      </c>
      <c r="AL4" s="182">
        <f>'P&amp;L'!AL22</f>
        <v>-32973</v>
      </c>
      <c r="AM4" s="182">
        <f>'P&amp;L'!AM22</f>
        <v>6521</v>
      </c>
      <c r="AN4" s="182">
        <f>'P&amp;L'!AN22</f>
        <v>16049</v>
      </c>
      <c r="AO4" s="184">
        <f>'P&amp;L'!AO22</f>
        <v>10875</v>
      </c>
      <c r="AP4" s="182">
        <f>'P&amp;L'!AP22</f>
        <v>-12071</v>
      </c>
      <c r="AQ4" s="182">
        <f>'P&amp;L'!AQ22</f>
        <v>-1971</v>
      </c>
      <c r="AR4" s="182">
        <f>'P&amp;L'!AR22</f>
        <v>6635</v>
      </c>
      <c r="AS4" s="182">
        <f>'P&amp;L'!AS22</f>
        <v>62051</v>
      </c>
      <c r="AT4" s="184">
        <f>'P&amp;L'!AT22</f>
        <v>54644</v>
      </c>
      <c r="AU4" s="182">
        <f>'P&amp;L'!AU22</f>
        <v>8566</v>
      </c>
      <c r="AV4" s="312"/>
    </row>
    <row r="5" spans="1:49" ht="15" customHeight="1" x14ac:dyDescent="0.25">
      <c r="A5" s="142" t="s">
        <v>195</v>
      </c>
      <c r="B5" s="185"/>
      <c r="C5" s="185"/>
      <c r="D5" s="185"/>
      <c r="E5" s="185"/>
      <c r="F5" s="186"/>
      <c r="G5" s="185"/>
      <c r="H5" s="185"/>
      <c r="I5" s="185"/>
      <c r="J5" s="185"/>
      <c r="K5" s="186"/>
      <c r="L5" s="185"/>
      <c r="M5" s="185"/>
      <c r="N5" s="185"/>
      <c r="O5" s="185"/>
      <c r="P5" s="187"/>
      <c r="Q5" s="185"/>
      <c r="R5" s="185"/>
      <c r="S5" s="185"/>
      <c r="T5" s="185"/>
      <c r="U5" s="187"/>
      <c r="V5" s="185"/>
      <c r="W5" s="185"/>
      <c r="X5" s="185"/>
      <c r="Y5" s="185"/>
      <c r="Z5" s="187"/>
      <c r="AA5" s="185"/>
      <c r="AB5" s="185"/>
      <c r="AC5" s="185"/>
      <c r="AD5" s="185"/>
      <c r="AE5" s="187"/>
      <c r="AF5" s="185"/>
      <c r="AG5" s="185"/>
      <c r="AH5" s="185"/>
      <c r="AI5" s="185"/>
      <c r="AJ5" s="187"/>
      <c r="AK5" s="185"/>
      <c r="AL5" s="185"/>
      <c r="AM5" s="185"/>
      <c r="AN5" s="185"/>
      <c r="AO5" s="187"/>
      <c r="AP5" s="185"/>
      <c r="AQ5" s="185"/>
      <c r="AR5" s="185"/>
      <c r="AS5" s="185"/>
      <c r="AT5" s="187"/>
      <c r="AU5" s="185"/>
    </row>
    <row r="6" spans="1:49" ht="15" customHeight="1" x14ac:dyDescent="0.25">
      <c r="A6" s="142" t="s">
        <v>196</v>
      </c>
      <c r="B6" s="188">
        <f>-'P&amp;L'!B19</f>
        <v>-3920</v>
      </c>
      <c r="C6" s="188">
        <f>-'P&amp;L'!C19</f>
        <v>2546</v>
      </c>
      <c r="D6" s="188">
        <f>-'P&amp;L'!D19</f>
        <v>6650</v>
      </c>
      <c r="E6" s="188">
        <f>-'P&amp;L'!E19</f>
        <v>-735</v>
      </c>
      <c r="F6" s="189">
        <f>-'P&amp;L'!F19</f>
        <v>4541</v>
      </c>
      <c r="G6" s="188">
        <f>-'P&amp;L'!G19</f>
        <v>1317</v>
      </c>
      <c r="H6" s="188">
        <f>-'P&amp;L'!H19</f>
        <v>94</v>
      </c>
      <c r="I6" s="188">
        <f>-'P&amp;L'!I19</f>
        <v>570</v>
      </c>
      <c r="J6" s="188">
        <f>-'P&amp;L'!J19</f>
        <v>-1435</v>
      </c>
      <c r="K6" s="189">
        <f>-'P&amp;L'!K19</f>
        <v>546</v>
      </c>
      <c r="L6" s="188">
        <f>-'P&amp;L'!L19</f>
        <v>2333</v>
      </c>
      <c r="M6" s="188">
        <f>-'P&amp;L'!M19</f>
        <v>2094</v>
      </c>
      <c r="N6" s="188">
        <f>-'P&amp;L'!N19</f>
        <v>2886</v>
      </c>
      <c r="O6" s="188">
        <f>-'P&amp;L'!O19</f>
        <v>2221</v>
      </c>
      <c r="P6" s="190">
        <f>-'P&amp;L'!P19</f>
        <v>9534</v>
      </c>
      <c r="Q6" s="188">
        <f>-'P&amp;L'!Q19</f>
        <v>1325</v>
      </c>
      <c r="R6" s="188">
        <f>-'P&amp;L'!R19</f>
        <v>1006</v>
      </c>
      <c r="S6" s="188">
        <f>-'P&amp;L'!S19</f>
        <v>1007</v>
      </c>
      <c r="T6" s="188">
        <f>-'P&amp;L'!T19</f>
        <v>1746</v>
      </c>
      <c r="U6" s="190">
        <f>-'P&amp;L'!U19</f>
        <v>5084</v>
      </c>
      <c r="V6" s="188">
        <f>-'P&amp;L'!V19</f>
        <v>1974</v>
      </c>
      <c r="W6" s="188">
        <f>-'P&amp;L'!W19</f>
        <v>1354</v>
      </c>
      <c r="X6" s="188">
        <f>-'P&amp;L'!X19</f>
        <v>900</v>
      </c>
      <c r="Y6" s="188">
        <f>-'P&amp;L'!Y19</f>
        <v>1521</v>
      </c>
      <c r="Z6" s="190">
        <f>-'P&amp;L'!Z19</f>
        <v>5749</v>
      </c>
      <c r="AA6" s="188">
        <f>-'P&amp;L'!AA19</f>
        <v>334</v>
      </c>
      <c r="AB6" s="188">
        <f>-'P&amp;L'!AB19</f>
        <v>1003</v>
      </c>
      <c r="AC6" s="188">
        <f>-'P&amp;L'!AC19</f>
        <v>491</v>
      </c>
      <c r="AD6" s="188">
        <f>-'P&amp;L'!AD19</f>
        <v>111</v>
      </c>
      <c r="AE6" s="190">
        <f>-'P&amp;L'!AE19</f>
        <v>1939</v>
      </c>
      <c r="AF6" s="188">
        <f>-'P&amp;L'!AF19</f>
        <v>718</v>
      </c>
      <c r="AG6" s="188">
        <f>-'P&amp;L'!AG19</f>
        <v>519</v>
      </c>
      <c r="AH6" s="188">
        <f>-'P&amp;L'!AH19</f>
        <v>154</v>
      </c>
      <c r="AI6" s="188">
        <v>-347</v>
      </c>
      <c r="AJ6" s="190">
        <v>1044</v>
      </c>
      <c r="AK6" s="188">
        <f>-'P&amp;L'!AK19</f>
        <v>-4030</v>
      </c>
      <c r="AL6" s="188">
        <f>-'P&amp;L'!AL19+488</f>
        <v>-15924</v>
      </c>
      <c r="AM6" s="188">
        <f>-'P&amp;L'!AM19-41</f>
        <v>-3526</v>
      </c>
      <c r="AN6" s="188">
        <v>6427</v>
      </c>
      <c r="AO6" s="190">
        <v>-17053</v>
      </c>
      <c r="AP6" s="188">
        <v>-6606</v>
      </c>
      <c r="AQ6" s="188">
        <f>-'P&amp;L'!AQ19+104</f>
        <v>1956</v>
      </c>
      <c r="AR6" s="188">
        <v>2958</v>
      </c>
      <c r="AS6" s="188">
        <v>4497</v>
      </c>
      <c r="AT6" s="190">
        <v>2805</v>
      </c>
      <c r="AU6" s="188">
        <v>-1181</v>
      </c>
      <c r="AV6" s="313"/>
      <c r="AW6" s="191"/>
    </row>
    <row r="7" spans="1:49" ht="15" customHeight="1" x14ac:dyDescent="0.25">
      <c r="A7" s="142" t="s">
        <v>197</v>
      </c>
      <c r="B7" s="188">
        <f>-'P&amp;L'!B21</f>
        <v>7143</v>
      </c>
      <c r="C7" s="188">
        <f>-'P&amp;L'!C21</f>
        <v>1365</v>
      </c>
      <c r="D7" s="188">
        <f>-'P&amp;L'!D21</f>
        <v>5388</v>
      </c>
      <c r="E7" s="188">
        <f>-'P&amp;L'!E21</f>
        <v>-4378</v>
      </c>
      <c r="F7" s="189">
        <f>-'P&amp;L'!F21</f>
        <v>9517</v>
      </c>
      <c r="G7" s="188">
        <f>-'P&amp;L'!G21</f>
        <v>7944</v>
      </c>
      <c r="H7" s="188">
        <f>-'P&amp;L'!H21</f>
        <v>4450</v>
      </c>
      <c r="I7" s="188">
        <f>-'P&amp;L'!I21</f>
        <v>7574</v>
      </c>
      <c r="J7" s="188">
        <f>-'P&amp;L'!J21</f>
        <v>13161</v>
      </c>
      <c r="K7" s="189">
        <f>-'P&amp;L'!K21</f>
        <v>33129</v>
      </c>
      <c r="L7" s="188">
        <f>-'P&amp;L'!L21</f>
        <v>4201</v>
      </c>
      <c r="M7" s="188">
        <f>-'P&amp;L'!M21</f>
        <v>3665</v>
      </c>
      <c r="N7" s="188">
        <f>-'P&amp;L'!N21</f>
        <v>7858</v>
      </c>
      <c r="O7" s="188">
        <f>-'P&amp;L'!O21</f>
        <v>15927</v>
      </c>
      <c r="P7" s="190">
        <f>-'P&amp;L'!P21</f>
        <v>31651</v>
      </c>
      <c r="Q7" s="188">
        <f>-'P&amp;L'!Q21</f>
        <v>12386</v>
      </c>
      <c r="R7" s="188">
        <f>-'P&amp;L'!R21</f>
        <v>8638</v>
      </c>
      <c r="S7" s="188">
        <f>-'P&amp;L'!S21</f>
        <v>6821</v>
      </c>
      <c r="T7" s="188">
        <f>-'P&amp;L'!T21</f>
        <v>18299</v>
      </c>
      <c r="U7" s="190">
        <f>-'P&amp;L'!U21</f>
        <v>46144</v>
      </c>
      <c r="V7" s="188">
        <f>-'P&amp;L'!V21</f>
        <v>10018</v>
      </c>
      <c r="W7" s="188">
        <f>-'P&amp;L'!W21</f>
        <v>5683</v>
      </c>
      <c r="X7" s="188">
        <f>-'P&amp;L'!X21</f>
        <v>7913</v>
      </c>
      <c r="Y7" s="188">
        <f>-'P&amp;L'!Y21</f>
        <v>15882</v>
      </c>
      <c r="Z7" s="190">
        <f>-'P&amp;L'!Z21</f>
        <v>39496</v>
      </c>
      <c r="AA7" s="188">
        <f>-'P&amp;L'!AA21</f>
        <v>7040</v>
      </c>
      <c r="AB7" s="188">
        <f>-'P&amp;L'!AB21</f>
        <v>2636</v>
      </c>
      <c r="AC7" s="188">
        <f>-'P&amp;L'!AC21</f>
        <v>2267</v>
      </c>
      <c r="AD7" s="188">
        <f>-'P&amp;L'!AD21</f>
        <v>20254</v>
      </c>
      <c r="AE7" s="190">
        <f>-'P&amp;L'!AE21</f>
        <v>32197</v>
      </c>
      <c r="AF7" s="188">
        <f>-'P&amp;L'!AF21</f>
        <v>10051</v>
      </c>
      <c r="AG7" s="188">
        <f>-'P&amp;L'!AG21</f>
        <v>4181</v>
      </c>
      <c r="AH7" s="188">
        <f>-'P&amp;L'!AH21</f>
        <v>7801</v>
      </c>
      <c r="AI7" s="188">
        <f>-'P&amp;L'!AI21</f>
        <v>-5864</v>
      </c>
      <c r="AJ7" s="190">
        <f>-'P&amp;L'!AJ21</f>
        <v>16169</v>
      </c>
      <c r="AK7" s="188">
        <f>-'P&amp;L'!AK21</f>
        <v>10414</v>
      </c>
      <c r="AL7" s="188">
        <f>-'P&amp;L'!AL21</f>
        <v>-7121</v>
      </c>
      <c r="AM7" s="188">
        <f>-'P&amp;L'!AM21</f>
        <v>1442</v>
      </c>
      <c r="AN7" s="188">
        <f>-'P&amp;L'!AN21</f>
        <v>26451</v>
      </c>
      <c r="AO7" s="190">
        <f>-'P&amp;L'!AO21</f>
        <v>31186</v>
      </c>
      <c r="AP7" s="188">
        <f>-'P&amp;L'!AP21</f>
        <v>-4595</v>
      </c>
      <c r="AQ7" s="188">
        <f>-'P&amp;L'!AQ21</f>
        <v>1078</v>
      </c>
      <c r="AR7" s="188">
        <f>-'P&amp;L'!AR21</f>
        <v>1832</v>
      </c>
      <c r="AS7" s="188">
        <f>-'P&amp;L'!AS21</f>
        <v>21769</v>
      </c>
      <c r="AT7" s="190">
        <f>-'P&amp;L'!AT21</f>
        <v>20084</v>
      </c>
      <c r="AU7" s="188">
        <f>-'P&amp;L'!AU21</f>
        <v>2969</v>
      </c>
    </row>
    <row r="8" spans="1:49" ht="15" customHeight="1" x14ac:dyDescent="0.25">
      <c r="A8" s="142" t="s">
        <v>198</v>
      </c>
      <c r="B8" s="192">
        <f t="shared" ref="B8:F8" si="0">SUM(B9:B11)</f>
        <v>6317</v>
      </c>
      <c r="C8" s="192">
        <f t="shared" si="0"/>
        <v>5325</v>
      </c>
      <c r="D8" s="192">
        <f t="shared" si="0"/>
        <v>4600</v>
      </c>
      <c r="E8" s="192">
        <f t="shared" si="0"/>
        <v>7748</v>
      </c>
      <c r="F8" s="193">
        <f t="shared" si="0"/>
        <v>23989</v>
      </c>
      <c r="G8" s="192">
        <f>SUM(G9:G11)</f>
        <v>8370</v>
      </c>
      <c r="H8" s="192">
        <f>SUM(H9:H11)</f>
        <v>7695</v>
      </c>
      <c r="I8" s="192">
        <f>SUM(I9:I11)</f>
        <v>13965</v>
      </c>
      <c r="J8" s="192">
        <f t="shared" ref="J8:K8" si="1">SUM(J9:J11)</f>
        <v>13229</v>
      </c>
      <c r="K8" s="193">
        <f t="shared" si="1"/>
        <v>43259</v>
      </c>
      <c r="L8" s="192">
        <f>SUM(L9:L11)</f>
        <v>14940</v>
      </c>
      <c r="M8" s="192">
        <f t="shared" ref="M8:P8" si="2">SUM(M9:M11)</f>
        <v>14918</v>
      </c>
      <c r="N8" s="192">
        <f>SUM(N9:N11)</f>
        <v>22028</v>
      </c>
      <c r="O8" s="192">
        <f t="shared" si="2"/>
        <v>20464</v>
      </c>
      <c r="P8" s="194">
        <f t="shared" si="2"/>
        <v>72351</v>
      </c>
      <c r="Q8" s="192">
        <f>SUM(Q9:Q11)</f>
        <v>19303</v>
      </c>
      <c r="R8" s="192">
        <f>SUM(R9:R11)</f>
        <v>20245</v>
      </c>
      <c r="S8" s="192">
        <f>SUM(S9:S11)</f>
        <v>17261</v>
      </c>
      <c r="T8" s="192">
        <f t="shared" ref="T8:U8" si="3">SUM(T9:T11)</f>
        <v>10267</v>
      </c>
      <c r="U8" s="194">
        <f t="shared" si="3"/>
        <v>67076</v>
      </c>
      <c r="V8" s="192">
        <f>SUM(V9:V11)</f>
        <v>13882</v>
      </c>
      <c r="W8" s="192">
        <f>SUM(W9:W11)</f>
        <v>14391</v>
      </c>
      <c r="X8" s="192">
        <f>SUM(X9:X11)</f>
        <v>11770</v>
      </c>
      <c r="Y8" s="192">
        <f t="shared" ref="Y8:Z8" si="4">SUM(Y9:Y11)</f>
        <v>9089</v>
      </c>
      <c r="Z8" s="194">
        <f t="shared" si="4"/>
        <v>49132</v>
      </c>
      <c r="AA8" s="192">
        <f>SUM(AA9:AA11)</f>
        <v>8503</v>
      </c>
      <c r="AB8" s="192">
        <f>SUM(AB9:AB11)</f>
        <v>7159</v>
      </c>
      <c r="AC8" s="192">
        <f>SUM(AC9:AC11)</f>
        <v>6803</v>
      </c>
      <c r="AD8" s="192">
        <f t="shared" ref="AD8:AE8" si="5">SUM(AD9:AD11)</f>
        <v>8960</v>
      </c>
      <c r="AE8" s="194">
        <f t="shared" si="5"/>
        <v>31425</v>
      </c>
      <c r="AF8" s="192">
        <f>SUM(AF9:AF11)</f>
        <v>7882</v>
      </c>
      <c r="AG8" s="192">
        <f>SUM(AG9:AG11)</f>
        <v>11669</v>
      </c>
      <c r="AH8" s="192">
        <f>SUM(AH9:AH11)</f>
        <v>13290</v>
      </c>
      <c r="AI8" s="192">
        <f t="shared" ref="AI8:AJ8" si="6">SUM(AI9:AI11)</f>
        <v>12114</v>
      </c>
      <c r="AJ8" s="194">
        <f t="shared" si="6"/>
        <v>44955</v>
      </c>
      <c r="AK8" s="192">
        <f>SUM(AK9:AK11)</f>
        <v>9490</v>
      </c>
      <c r="AL8" s="192">
        <f>SUM(AL9:AL11)</f>
        <v>12020</v>
      </c>
      <c r="AM8" s="192">
        <f>SUM(AM9:AM11)</f>
        <v>21084</v>
      </c>
      <c r="AN8" s="192">
        <f t="shared" ref="AN8:AO8" si="7">SUM(AN9:AN11)</f>
        <v>22441</v>
      </c>
      <c r="AO8" s="194">
        <f t="shared" si="7"/>
        <v>65035</v>
      </c>
      <c r="AP8" s="192">
        <f t="shared" ref="AP8:AU8" si="8">SUM(AP9:AP11)</f>
        <v>26065</v>
      </c>
      <c r="AQ8" s="192">
        <f t="shared" si="8"/>
        <v>27831</v>
      </c>
      <c r="AR8" s="192">
        <f t="shared" si="8"/>
        <v>24323</v>
      </c>
      <c r="AS8" s="192">
        <f t="shared" si="8"/>
        <v>21003</v>
      </c>
      <c r="AT8" s="194">
        <f t="shared" si="8"/>
        <v>99222</v>
      </c>
      <c r="AU8" s="192">
        <f t="shared" si="8"/>
        <v>27292</v>
      </c>
    </row>
    <row r="9" spans="1:49" ht="15" customHeight="1" x14ac:dyDescent="0.25">
      <c r="A9" s="195" t="s">
        <v>199</v>
      </c>
      <c r="B9" s="196">
        <v>1478</v>
      </c>
      <c r="C9" s="196">
        <v>1162</v>
      </c>
      <c r="D9" s="196">
        <v>1714</v>
      </c>
      <c r="E9" s="196">
        <v>2167</v>
      </c>
      <c r="F9" s="197">
        <v>6520</v>
      </c>
      <c r="G9" s="196">
        <v>2402</v>
      </c>
      <c r="H9" s="196">
        <v>2179</v>
      </c>
      <c r="I9" s="196">
        <v>4667</v>
      </c>
      <c r="J9" s="196">
        <v>2860</v>
      </c>
      <c r="K9" s="197">
        <v>12108</v>
      </c>
      <c r="L9" s="196">
        <v>3916</v>
      </c>
      <c r="M9" s="196">
        <v>4461</v>
      </c>
      <c r="N9" s="196">
        <v>6361</v>
      </c>
      <c r="O9" s="196">
        <v>6355</v>
      </c>
      <c r="P9" s="198">
        <v>21093</v>
      </c>
      <c r="Q9" s="196">
        <v>4555</v>
      </c>
      <c r="R9" s="196">
        <v>6771</v>
      </c>
      <c r="S9" s="196">
        <v>4901</v>
      </c>
      <c r="T9" s="196">
        <v>5005</v>
      </c>
      <c r="U9" s="198">
        <v>21232</v>
      </c>
      <c r="V9" s="196">
        <v>4025</v>
      </c>
      <c r="W9" s="196">
        <v>4203</v>
      </c>
      <c r="X9" s="196">
        <v>3230</v>
      </c>
      <c r="Y9" s="196">
        <v>3578</v>
      </c>
      <c r="Z9" s="198">
        <v>15036</v>
      </c>
      <c r="AA9" s="196">
        <v>2370</v>
      </c>
      <c r="AB9" s="196">
        <v>2068</v>
      </c>
      <c r="AC9" s="196">
        <v>3333</v>
      </c>
      <c r="AD9" s="196">
        <v>2482</v>
      </c>
      <c r="AE9" s="198">
        <v>10253</v>
      </c>
      <c r="AF9" s="196">
        <v>2496</v>
      </c>
      <c r="AG9" s="196">
        <v>4218</v>
      </c>
      <c r="AH9" s="196">
        <v>4858</v>
      </c>
      <c r="AI9" s="196">
        <v>4762</v>
      </c>
      <c r="AJ9" s="198">
        <v>16334</v>
      </c>
      <c r="AK9" s="196">
        <v>3967</v>
      </c>
      <c r="AL9" s="196">
        <v>5578</v>
      </c>
      <c r="AM9" s="196">
        <v>11621</v>
      </c>
      <c r="AN9" s="196">
        <v>15348</v>
      </c>
      <c r="AO9" s="198">
        <v>36514</v>
      </c>
      <c r="AP9" s="196">
        <v>16336</v>
      </c>
      <c r="AQ9" s="196">
        <v>16339</v>
      </c>
      <c r="AR9" s="196">
        <v>11938</v>
      </c>
      <c r="AS9" s="196">
        <v>10465</v>
      </c>
      <c r="AT9" s="198">
        <v>55078</v>
      </c>
      <c r="AU9" s="196">
        <v>14594</v>
      </c>
    </row>
    <row r="10" spans="1:49" ht="15" customHeight="1" x14ac:dyDescent="0.25">
      <c r="A10" s="195" t="s">
        <v>200</v>
      </c>
      <c r="B10" s="166">
        <v>3454</v>
      </c>
      <c r="C10" s="166">
        <v>2903</v>
      </c>
      <c r="D10" s="166">
        <v>1715</v>
      </c>
      <c r="E10" s="166">
        <v>3606</v>
      </c>
      <c r="F10" s="167">
        <v>11678</v>
      </c>
      <c r="G10" s="166">
        <v>3390</v>
      </c>
      <c r="H10" s="166">
        <v>2488</v>
      </c>
      <c r="I10" s="166">
        <v>5143</v>
      </c>
      <c r="J10" s="166">
        <v>5816</v>
      </c>
      <c r="K10" s="167">
        <v>16838</v>
      </c>
      <c r="L10" s="166">
        <v>6710</v>
      </c>
      <c r="M10" s="166">
        <v>6401</v>
      </c>
      <c r="N10" s="166">
        <v>9897</v>
      </c>
      <c r="O10" s="166">
        <v>8377</v>
      </c>
      <c r="P10" s="168">
        <v>31386</v>
      </c>
      <c r="Q10" s="166">
        <v>7832</v>
      </c>
      <c r="R10" s="166">
        <v>8668</v>
      </c>
      <c r="S10" s="166">
        <v>6952</v>
      </c>
      <c r="T10" s="166">
        <v>5793</v>
      </c>
      <c r="U10" s="168">
        <v>29244</v>
      </c>
      <c r="V10" s="166">
        <v>6201</v>
      </c>
      <c r="W10" s="166">
        <v>5693</v>
      </c>
      <c r="X10" s="166">
        <v>4398</v>
      </c>
      <c r="Y10" s="166">
        <v>3009</v>
      </c>
      <c r="Z10" s="168">
        <v>19301</v>
      </c>
      <c r="AA10" s="166">
        <v>3618</v>
      </c>
      <c r="AB10" s="166">
        <v>1572</v>
      </c>
      <c r="AC10" s="166">
        <v>3190</v>
      </c>
      <c r="AD10" s="166">
        <v>3662</v>
      </c>
      <c r="AE10" s="168">
        <v>12042</v>
      </c>
      <c r="AF10" s="166">
        <v>2369</v>
      </c>
      <c r="AG10" s="166">
        <v>3636</v>
      </c>
      <c r="AH10" s="166">
        <v>3875</v>
      </c>
      <c r="AI10" s="166">
        <v>3143</v>
      </c>
      <c r="AJ10" s="168">
        <v>13023</v>
      </c>
      <c r="AK10" s="166">
        <v>2568</v>
      </c>
      <c r="AL10" s="166">
        <v>2550</v>
      </c>
      <c r="AM10" s="166">
        <v>4577</v>
      </c>
      <c r="AN10" s="166">
        <v>4505</v>
      </c>
      <c r="AO10" s="168">
        <v>14200</v>
      </c>
      <c r="AP10" s="166">
        <v>4740</v>
      </c>
      <c r="AQ10" s="166">
        <v>5687</v>
      </c>
      <c r="AR10" s="166">
        <v>6387</v>
      </c>
      <c r="AS10" s="166">
        <v>4819</v>
      </c>
      <c r="AT10" s="168">
        <v>21633</v>
      </c>
      <c r="AU10" s="166">
        <v>5727</v>
      </c>
    </row>
    <row r="11" spans="1:49" ht="15" customHeight="1" x14ac:dyDescent="0.25">
      <c r="A11" s="195" t="s">
        <v>201</v>
      </c>
      <c r="B11" s="200">
        <v>1385</v>
      </c>
      <c r="C11" s="200">
        <v>1260</v>
      </c>
      <c r="D11" s="200">
        <v>1171</v>
      </c>
      <c r="E11" s="200">
        <v>1975</v>
      </c>
      <c r="F11" s="201">
        <v>5791</v>
      </c>
      <c r="G11" s="200">
        <v>2578</v>
      </c>
      <c r="H11" s="200">
        <v>3028</v>
      </c>
      <c r="I11" s="200">
        <v>4155</v>
      </c>
      <c r="J11" s="200">
        <v>4553</v>
      </c>
      <c r="K11" s="201">
        <v>14313</v>
      </c>
      <c r="L11" s="200">
        <v>4314</v>
      </c>
      <c r="M11" s="200">
        <v>4056</v>
      </c>
      <c r="N11" s="200">
        <v>5770</v>
      </c>
      <c r="O11" s="200">
        <v>5732</v>
      </c>
      <c r="P11" s="202">
        <v>19872</v>
      </c>
      <c r="Q11" s="200">
        <v>6916</v>
      </c>
      <c r="R11" s="200">
        <v>4806</v>
      </c>
      <c r="S11" s="200">
        <v>5408</v>
      </c>
      <c r="T11" s="200">
        <v>-531</v>
      </c>
      <c r="U11" s="202">
        <v>16600</v>
      </c>
      <c r="V11" s="200">
        <v>3656</v>
      </c>
      <c r="W11" s="200">
        <v>4495</v>
      </c>
      <c r="X11" s="200">
        <v>4142</v>
      </c>
      <c r="Y11" s="200">
        <v>2502</v>
      </c>
      <c r="Z11" s="202">
        <v>14795</v>
      </c>
      <c r="AA11" s="200">
        <v>2515</v>
      </c>
      <c r="AB11" s="200">
        <v>3519</v>
      </c>
      <c r="AC11" s="200">
        <v>280</v>
      </c>
      <c r="AD11" s="200">
        <v>2816</v>
      </c>
      <c r="AE11" s="202">
        <v>9130</v>
      </c>
      <c r="AF11" s="200">
        <v>3017</v>
      </c>
      <c r="AG11" s="200">
        <v>3815</v>
      </c>
      <c r="AH11" s="200">
        <v>4557</v>
      </c>
      <c r="AI11" s="200">
        <v>4209</v>
      </c>
      <c r="AJ11" s="202">
        <v>15598</v>
      </c>
      <c r="AK11" s="200">
        <v>2955</v>
      </c>
      <c r="AL11" s="200">
        <v>3892</v>
      </c>
      <c r="AM11" s="200">
        <v>4886</v>
      </c>
      <c r="AN11" s="200">
        <v>2588</v>
      </c>
      <c r="AO11" s="202">
        <v>14321</v>
      </c>
      <c r="AP11" s="200">
        <v>4989</v>
      </c>
      <c r="AQ11" s="200">
        <v>5805</v>
      </c>
      <c r="AR11" s="200">
        <v>5998</v>
      </c>
      <c r="AS11" s="200">
        <v>5719</v>
      </c>
      <c r="AT11" s="202">
        <v>22511</v>
      </c>
      <c r="AU11" s="200">
        <v>6971</v>
      </c>
    </row>
    <row r="12" spans="1:49" ht="15" customHeight="1" x14ac:dyDescent="0.25">
      <c r="A12" s="142" t="s">
        <v>202</v>
      </c>
      <c r="B12" s="192">
        <f t="shared" ref="B12:F12" si="9">SUM(B13:B15)</f>
        <v>112</v>
      </c>
      <c r="C12" s="192">
        <f t="shared" si="9"/>
        <v>110</v>
      </c>
      <c r="D12" s="192">
        <f t="shared" si="9"/>
        <v>110</v>
      </c>
      <c r="E12" s="192">
        <f t="shared" si="9"/>
        <v>109</v>
      </c>
      <c r="F12" s="193">
        <f t="shared" si="9"/>
        <v>441</v>
      </c>
      <c r="G12" s="192">
        <f>SUM(G13:G15)</f>
        <v>129</v>
      </c>
      <c r="H12" s="192">
        <f>SUM(H13:H15)</f>
        <v>131</v>
      </c>
      <c r="I12" s="192">
        <f>SUM(I13:I15)</f>
        <v>132</v>
      </c>
      <c r="J12" s="192">
        <f t="shared" ref="J12:K12" si="10">SUM(J13:J15)</f>
        <v>133</v>
      </c>
      <c r="K12" s="193">
        <f t="shared" si="10"/>
        <v>524</v>
      </c>
      <c r="L12" s="192">
        <f>SUM(L13:L15)</f>
        <v>290</v>
      </c>
      <c r="M12" s="192">
        <f t="shared" ref="M12:Z12" si="11">SUM(M13:M15)</f>
        <v>299</v>
      </c>
      <c r="N12" s="192">
        <f>SUM(N13:N15)</f>
        <v>320</v>
      </c>
      <c r="O12" s="192">
        <f t="shared" si="11"/>
        <v>321</v>
      </c>
      <c r="P12" s="194">
        <f t="shared" si="11"/>
        <v>1231</v>
      </c>
      <c r="Q12" s="192">
        <f t="shared" si="11"/>
        <v>434</v>
      </c>
      <c r="R12" s="192">
        <f t="shared" si="11"/>
        <v>419</v>
      </c>
      <c r="S12" s="192">
        <f t="shared" si="11"/>
        <v>419</v>
      </c>
      <c r="T12" s="192">
        <f t="shared" si="11"/>
        <v>419</v>
      </c>
      <c r="U12" s="194">
        <f t="shared" si="11"/>
        <v>1691</v>
      </c>
      <c r="V12" s="192">
        <f t="shared" si="11"/>
        <v>394</v>
      </c>
      <c r="W12" s="192">
        <f t="shared" si="11"/>
        <v>391</v>
      </c>
      <c r="X12" s="192">
        <f t="shared" si="11"/>
        <v>388</v>
      </c>
      <c r="Y12" s="192">
        <f t="shared" si="11"/>
        <v>383</v>
      </c>
      <c r="Z12" s="194">
        <f t="shared" si="11"/>
        <v>1556</v>
      </c>
      <c r="AA12" s="192">
        <f t="shared" ref="AA12:AE12" si="12">SUM(AA13:AA15)</f>
        <v>538</v>
      </c>
      <c r="AB12" s="192">
        <f t="shared" si="12"/>
        <v>539</v>
      </c>
      <c r="AC12" s="192">
        <f t="shared" si="12"/>
        <v>572</v>
      </c>
      <c r="AD12" s="192">
        <f t="shared" si="12"/>
        <v>583</v>
      </c>
      <c r="AE12" s="194">
        <f t="shared" si="12"/>
        <v>2232</v>
      </c>
      <c r="AF12" s="192">
        <f t="shared" ref="AF12:AG12" si="13">SUM(AF13:AF15)</f>
        <v>338</v>
      </c>
      <c r="AG12" s="192">
        <f t="shared" si="13"/>
        <v>337</v>
      </c>
      <c r="AH12" s="192">
        <f>SUM(AH13:AH15)</f>
        <v>330</v>
      </c>
      <c r="AI12" s="192">
        <f t="shared" ref="AI12:AJ12" si="14">SUM(AI13:AI15)</f>
        <v>319</v>
      </c>
      <c r="AJ12" s="194">
        <f t="shared" si="14"/>
        <v>1324</v>
      </c>
      <c r="AK12" s="192">
        <f>SUM(AK13:AK15)</f>
        <v>275</v>
      </c>
      <c r="AL12" s="192">
        <f t="shared" ref="AL12" si="15">SUM(AL13:AL15)</f>
        <v>264</v>
      </c>
      <c r="AM12" s="192">
        <f>SUM(AM13:AM15)</f>
        <v>247</v>
      </c>
      <c r="AN12" s="192">
        <f t="shared" ref="AN12:AO12" si="16">SUM(AN13:AN15)</f>
        <v>970</v>
      </c>
      <c r="AO12" s="194">
        <f t="shared" si="16"/>
        <v>1756</v>
      </c>
      <c r="AP12" s="192">
        <f>SUM(AP13:AP15)</f>
        <v>176</v>
      </c>
      <c r="AQ12" s="192">
        <f t="shared" ref="AQ12" si="17">SUM(AQ13:AQ15)</f>
        <v>177</v>
      </c>
      <c r="AR12" s="192">
        <f>SUM(AR13:AR15)</f>
        <v>179</v>
      </c>
      <c r="AS12" s="192">
        <f t="shared" ref="AS12:AT12" si="18">SUM(AS13:AS15)</f>
        <v>-131</v>
      </c>
      <c r="AT12" s="194">
        <f t="shared" si="18"/>
        <v>401</v>
      </c>
      <c r="AU12" s="192">
        <f>SUM(AU13:AU15)</f>
        <v>172</v>
      </c>
    </row>
    <row r="13" spans="1:49" ht="15" customHeight="1" x14ac:dyDescent="0.25">
      <c r="A13" s="195" t="s">
        <v>199</v>
      </c>
      <c r="B13" s="203">
        <v>42</v>
      </c>
      <c r="C13" s="203">
        <v>40</v>
      </c>
      <c r="D13" s="203">
        <v>41</v>
      </c>
      <c r="E13" s="203">
        <v>40</v>
      </c>
      <c r="F13" s="204">
        <v>163</v>
      </c>
      <c r="G13" s="203">
        <v>52</v>
      </c>
      <c r="H13" s="203">
        <v>53</v>
      </c>
      <c r="I13" s="203">
        <v>55</v>
      </c>
      <c r="J13" s="203">
        <v>52</v>
      </c>
      <c r="K13" s="204">
        <v>211</v>
      </c>
      <c r="L13" s="203">
        <v>146</v>
      </c>
      <c r="M13" s="203">
        <v>151</v>
      </c>
      <c r="N13" s="203">
        <v>161</v>
      </c>
      <c r="O13" s="203">
        <v>162</v>
      </c>
      <c r="P13" s="205">
        <v>621</v>
      </c>
      <c r="Q13" s="203">
        <v>220</v>
      </c>
      <c r="R13" s="203">
        <v>212</v>
      </c>
      <c r="S13" s="203">
        <v>208</v>
      </c>
      <c r="T13" s="203">
        <v>204</v>
      </c>
      <c r="U13" s="205">
        <v>844</v>
      </c>
      <c r="V13" s="203">
        <v>193</v>
      </c>
      <c r="W13" s="203">
        <v>191</v>
      </c>
      <c r="X13" s="203">
        <v>188</v>
      </c>
      <c r="Y13" s="203">
        <v>188</v>
      </c>
      <c r="Z13" s="205">
        <v>760</v>
      </c>
      <c r="AA13" s="203">
        <v>269</v>
      </c>
      <c r="AB13" s="203">
        <v>269</v>
      </c>
      <c r="AC13" s="203">
        <v>286</v>
      </c>
      <c r="AD13" s="203">
        <v>290</v>
      </c>
      <c r="AE13" s="205">
        <v>1114</v>
      </c>
      <c r="AF13" s="203">
        <v>175</v>
      </c>
      <c r="AG13" s="203">
        <v>175</v>
      </c>
      <c r="AH13" s="203">
        <v>170</v>
      </c>
      <c r="AI13" s="203">
        <v>166</v>
      </c>
      <c r="AJ13" s="205">
        <v>686</v>
      </c>
      <c r="AK13" s="203">
        <v>142</v>
      </c>
      <c r="AL13" s="203">
        <v>136</v>
      </c>
      <c r="AM13" s="203">
        <v>130</v>
      </c>
      <c r="AN13" s="203">
        <v>483</v>
      </c>
      <c r="AO13" s="205">
        <v>891</v>
      </c>
      <c r="AP13" s="203">
        <v>92</v>
      </c>
      <c r="AQ13" s="203">
        <v>94</v>
      </c>
      <c r="AR13" s="203">
        <v>95</v>
      </c>
      <c r="AS13" s="203">
        <v>-18</v>
      </c>
      <c r="AT13" s="205">
        <v>263</v>
      </c>
      <c r="AU13" s="203">
        <v>91</v>
      </c>
    </row>
    <row r="14" spans="1:49" ht="15" customHeight="1" x14ac:dyDescent="0.25">
      <c r="A14" s="195" t="s">
        <v>200</v>
      </c>
      <c r="B14" s="166">
        <v>39</v>
      </c>
      <c r="C14" s="166">
        <v>39</v>
      </c>
      <c r="D14" s="166">
        <v>37</v>
      </c>
      <c r="E14" s="166">
        <v>38</v>
      </c>
      <c r="F14" s="167">
        <v>153</v>
      </c>
      <c r="G14" s="166">
        <v>34</v>
      </c>
      <c r="H14" s="166">
        <v>35</v>
      </c>
      <c r="I14" s="166">
        <v>38</v>
      </c>
      <c r="J14" s="166">
        <v>37</v>
      </c>
      <c r="K14" s="167">
        <v>144</v>
      </c>
      <c r="L14" s="166">
        <v>59</v>
      </c>
      <c r="M14" s="166">
        <v>60</v>
      </c>
      <c r="N14" s="166">
        <v>65</v>
      </c>
      <c r="O14" s="166">
        <v>63</v>
      </c>
      <c r="P14" s="168">
        <v>247</v>
      </c>
      <c r="Q14" s="166">
        <v>79</v>
      </c>
      <c r="R14" s="166">
        <v>75</v>
      </c>
      <c r="S14" s="166">
        <v>83</v>
      </c>
      <c r="T14" s="166">
        <v>88</v>
      </c>
      <c r="U14" s="168">
        <v>325</v>
      </c>
      <c r="V14" s="166">
        <v>72</v>
      </c>
      <c r="W14" s="166">
        <v>71</v>
      </c>
      <c r="X14" s="166">
        <v>71</v>
      </c>
      <c r="Y14" s="166">
        <v>69</v>
      </c>
      <c r="Z14" s="168">
        <v>283</v>
      </c>
      <c r="AA14" s="166">
        <v>95</v>
      </c>
      <c r="AB14" s="166">
        <v>95</v>
      </c>
      <c r="AC14" s="166">
        <v>101</v>
      </c>
      <c r="AD14" s="166">
        <v>103</v>
      </c>
      <c r="AE14" s="168">
        <v>394</v>
      </c>
      <c r="AF14" s="166">
        <v>53</v>
      </c>
      <c r="AG14" s="166">
        <v>53</v>
      </c>
      <c r="AH14" s="166">
        <v>52</v>
      </c>
      <c r="AI14" s="166">
        <v>49</v>
      </c>
      <c r="AJ14" s="168">
        <v>207</v>
      </c>
      <c r="AK14" s="166">
        <v>40</v>
      </c>
      <c r="AL14" s="166">
        <v>39</v>
      </c>
      <c r="AM14" s="166">
        <v>40</v>
      </c>
      <c r="AN14" s="166">
        <v>220</v>
      </c>
      <c r="AO14" s="168">
        <v>339</v>
      </c>
      <c r="AP14" s="166">
        <v>28</v>
      </c>
      <c r="AQ14" s="166">
        <v>27</v>
      </c>
      <c r="AR14" s="166">
        <v>28</v>
      </c>
      <c r="AS14" s="166">
        <v>-132</v>
      </c>
      <c r="AT14" s="168">
        <v>-49</v>
      </c>
      <c r="AU14" s="166">
        <v>26</v>
      </c>
    </row>
    <row r="15" spans="1:49" ht="15" customHeight="1" x14ac:dyDescent="0.25">
      <c r="A15" s="195" t="s">
        <v>201</v>
      </c>
      <c r="B15" s="200">
        <v>31</v>
      </c>
      <c r="C15" s="200">
        <v>31</v>
      </c>
      <c r="D15" s="200">
        <v>32</v>
      </c>
      <c r="E15" s="200">
        <v>31</v>
      </c>
      <c r="F15" s="201">
        <v>125</v>
      </c>
      <c r="G15" s="200">
        <v>43</v>
      </c>
      <c r="H15" s="200">
        <v>43</v>
      </c>
      <c r="I15" s="200">
        <v>39</v>
      </c>
      <c r="J15" s="200">
        <v>44</v>
      </c>
      <c r="K15" s="201">
        <v>169</v>
      </c>
      <c r="L15" s="200">
        <v>85</v>
      </c>
      <c r="M15" s="200">
        <v>88</v>
      </c>
      <c r="N15" s="200">
        <v>94</v>
      </c>
      <c r="O15" s="200">
        <v>96</v>
      </c>
      <c r="P15" s="202">
        <v>363</v>
      </c>
      <c r="Q15" s="200">
        <v>135</v>
      </c>
      <c r="R15" s="200">
        <v>132</v>
      </c>
      <c r="S15" s="200">
        <v>128</v>
      </c>
      <c r="T15" s="200">
        <v>127</v>
      </c>
      <c r="U15" s="202">
        <v>522</v>
      </c>
      <c r="V15" s="200">
        <v>129</v>
      </c>
      <c r="W15" s="200">
        <v>129</v>
      </c>
      <c r="X15" s="200">
        <v>129</v>
      </c>
      <c r="Y15" s="200">
        <v>126</v>
      </c>
      <c r="Z15" s="202">
        <v>513</v>
      </c>
      <c r="AA15" s="200">
        <v>174</v>
      </c>
      <c r="AB15" s="200">
        <v>175</v>
      </c>
      <c r="AC15" s="200">
        <v>185</v>
      </c>
      <c r="AD15" s="200">
        <v>190</v>
      </c>
      <c r="AE15" s="202">
        <v>724</v>
      </c>
      <c r="AF15" s="200">
        <v>110</v>
      </c>
      <c r="AG15" s="200">
        <v>109</v>
      </c>
      <c r="AH15" s="200">
        <v>108</v>
      </c>
      <c r="AI15" s="200">
        <v>104</v>
      </c>
      <c r="AJ15" s="202">
        <v>431</v>
      </c>
      <c r="AK15" s="200">
        <v>93</v>
      </c>
      <c r="AL15" s="200">
        <v>89</v>
      </c>
      <c r="AM15" s="200">
        <v>77</v>
      </c>
      <c r="AN15" s="200">
        <v>267</v>
      </c>
      <c r="AO15" s="202">
        <v>526</v>
      </c>
      <c r="AP15" s="200">
        <v>56</v>
      </c>
      <c r="AQ15" s="200">
        <v>56</v>
      </c>
      <c r="AR15" s="200">
        <v>56</v>
      </c>
      <c r="AS15" s="200">
        <v>19</v>
      </c>
      <c r="AT15" s="202">
        <v>187</v>
      </c>
      <c r="AU15" s="200">
        <v>55</v>
      </c>
    </row>
    <row r="16" spans="1:49" ht="15" customHeight="1" x14ac:dyDescent="0.25">
      <c r="A16" s="142" t="s">
        <v>203</v>
      </c>
      <c r="B16" s="192">
        <f t="shared" ref="B16:F16" si="19">SUM(B17:B20)</f>
        <v>8428</v>
      </c>
      <c r="C16" s="192">
        <f t="shared" si="19"/>
        <v>10278</v>
      </c>
      <c r="D16" s="192">
        <f t="shared" si="19"/>
        <v>11892</v>
      </c>
      <c r="E16" s="192">
        <f t="shared" si="19"/>
        <v>13967</v>
      </c>
      <c r="F16" s="193">
        <f t="shared" si="19"/>
        <v>44565</v>
      </c>
      <c r="G16" s="192">
        <f>SUM(G17:G20)</f>
        <v>12516</v>
      </c>
      <c r="H16" s="192">
        <f>SUM(H17:H20)</f>
        <v>13300</v>
      </c>
      <c r="I16" s="192">
        <f>SUM(I17:I20)</f>
        <v>14771</v>
      </c>
      <c r="J16" s="192">
        <f t="shared" ref="J16:K16" si="20">SUM(J17:J20)</f>
        <v>16190</v>
      </c>
      <c r="K16" s="193">
        <f t="shared" si="20"/>
        <v>56779</v>
      </c>
      <c r="L16" s="192">
        <f>SUM(L17:L20)</f>
        <v>20167</v>
      </c>
      <c r="M16" s="192">
        <f t="shared" ref="M16:P16" si="21">SUM(M17:M20)</f>
        <v>22306</v>
      </c>
      <c r="N16" s="192">
        <f>SUM(N17:N20)</f>
        <v>23755</v>
      </c>
      <c r="O16" s="192">
        <f t="shared" si="21"/>
        <v>24570</v>
      </c>
      <c r="P16" s="194">
        <f t="shared" si="21"/>
        <v>90796</v>
      </c>
      <c r="Q16" s="192">
        <f>SUM(Q17:Q20)</f>
        <v>23646</v>
      </c>
      <c r="R16" s="192">
        <f>SUM(R17:R20)</f>
        <v>23560</v>
      </c>
      <c r="S16" s="192">
        <f>SUM(S17:S20)</f>
        <v>25619</v>
      </c>
      <c r="T16" s="192">
        <f t="shared" ref="T16:U16" si="22">SUM(T17:T20)</f>
        <v>30675</v>
      </c>
      <c r="U16" s="194">
        <f t="shared" si="22"/>
        <v>103500</v>
      </c>
      <c r="V16" s="192">
        <f>SUM(V17:V20)</f>
        <v>19296</v>
      </c>
      <c r="W16" s="192">
        <f>SUM(W17:W20)</f>
        <v>21315</v>
      </c>
      <c r="X16" s="192">
        <f>SUM(X17:X20)</f>
        <v>22388</v>
      </c>
      <c r="Y16" s="192">
        <f t="shared" ref="Y16:Z16" si="23">SUM(Y17:Y20)</f>
        <v>30489</v>
      </c>
      <c r="Z16" s="194">
        <f t="shared" si="23"/>
        <v>93488</v>
      </c>
      <c r="AA16" s="192">
        <f>SUM(AA17:AA20)</f>
        <v>24138</v>
      </c>
      <c r="AB16" s="192">
        <f>SUM(AB17:AB20)</f>
        <v>20208</v>
      </c>
      <c r="AC16" s="192">
        <f>SUM(AC17:AC20)</f>
        <v>21752</v>
      </c>
      <c r="AD16" s="192">
        <f t="shared" ref="AD16:AE16" si="24">SUM(AD17:AD20)</f>
        <v>22140</v>
      </c>
      <c r="AE16" s="194">
        <f t="shared" si="24"/>
        <v>88238</v>
      </c>
      <c r="AF16" s="192">
        <f>SUM(AF17:AF20)</f>
        <v>21854</v>
      </c>
      <c r="AG16" s="192">
        <f>SUM(AG17:AG20)</f>
        <v>22491</v>
      </c>
      <c r="AH16" s="192">
        <f>SUM(AH17:AH20)</f>
        <v>22301</v>
      </c>
      <c r="AI16" s="192">
        <f t="shared" ref="AI16:AJ16" si="25">SUM(AI17:AI20)</f>
        <v>21756</v>
      </c>
      <c r="AJ16" s="194">
        <f t="shared" si="25"/>
        <v>88402</v>
      </c>
      <c r="AK16" s="192">
        <f>SUM(AK17:AK20)</f>
        <v>22144</v>
      </c>
      <c r="AL16" s="192">
        <f>SUM(AL17:AL20)</f>
        <v>20141</v>
      </c>
      <c r="AM16" s="192">
        <f>SUM(AM17:AM20)</f>
        <v>19283</v>
      </c>
      <c r="AN16" s="192">
        <f t="shared" ref="AN16:AO16" si="26">SUM(AN17:AN20)</f>
        <v>27450</v>
      </c>
      <c r="AO16" s="194">
        <f t="shared" si="26"/>
        <v>89018</v>
      </c>
      <c r="AP16" s="192">
        <f>SUM(AP17:AP20)</f>
        <v>25320</v>
      </c>
      <c r="AQ16" s="192">
        <f>SUM(AQ17:AQ20)</f>
        <v>26606</v>
      </c>
      <c r="AR16" s="192">
        <f>SUM(AR17:AR20)</f>
        <v>24648</v>
      </c>
      <c r="AS16" s="192">
        <f>SUM(AS17:AS20)</f>
        <v>23079</v>
      </c>
      <c r="AT16" s="194">
        <f t="shared" ref="AT16" si="27">SUM(AT17:AT20)</f>
        <v>99653</v>
      </c>
      <c r="AU16" s="192">
        <f>SUM(AU17:AU20)</f>
        <v>24918</v>
      </c>
    </row>
    <row r="17" spans="1:47" ht="15" customHeight="1" x14ac:dyDescent="0.25">
      <c r="A17" s="195" t="s">
        <v>204</v>
      </c>
      <c r="B17" s="203">
        <v>5971</v>
      </c>
      <c r="C17" s="203">
        <v>6813</v>
      </c>
      <c r="D17" s="203">
        <v>8503</v>
      </c>
      <c r="E17" s="203">
        <v>8579</v>
      </c>
      <c r="F17" s="204">
        <v>29866</v>
      </c>
      <c r="G17" s="203">
        <v>8220</v>
      </c>
      <c r="H17" s="203">
        <v>9220</v>
      </c>
      <c r="I17" s="203">
        <v>10406</v>
      </c>
      <c r="J17" s="203">
        <v>10623</v>
      </c>
      <c r="K17" s="204">
        <v>38469</v>
      </c>
      <c r="L17" s="203">
        <v>11091</v>
      </c>
      <c r="M17" s="203">
        <v>13003</v>
      </c>
      <c r="N17" s="203">
        <v>14320</v>
      </c>
      <c r="O17" s="203">
        <v>15575</v>
      </c>
      <c r="P17" s="205">
        <v>53988</v>
      </c>
      <c r="Q17" s="203">
        <v>15249</v>
      </c>
      <c r="R17" s="203">
        <v>15050</v>
      </c>
      <c r="S17" s="203">
        <v>16571</v>
      </c>
      <c r="T17" s="203">
        <v>20477</v>
      </c>
      <c r="U17" s="205">
        <v>67347</v>
      </c>
      <c r="V17" s="203">
        <v>9135</v>
      </c>
      <c r="W17" s="203">
        <v>10847</v>
      </c>
      <c r="X17" s="203">
        <v>12193</v>
      </c>
      <c r="Y17" s="203">
        <v>12691</v>
      </c>
      <c r="Z17" s="205">
        <v>44866</v>
      </c>
      <c r="AA17" s="203">
        <v>12771</v>
      </c>
      <c r="AB17" s="203">
        <v>13098</v>
      </c>
      <c r="AC17" s="203">
        <v>14712</v>
      </c>
      <c r="AD17" s="203">
        <v>15354</v>
      </c>
      <c r="AE17" s="205">
        <v>55935</v>
      </c>
      <c r="AF17" s="203">
        <v>15244</v>
      </c>
      <c r="AG17" s="203">
        <v>15744</v>
      </c>
      <c r="AH17" s="203">
        <v>15520</v>
      </c>
      <c r="AI17" s="203">
        <v>14611</v>
      </c>
      <c r="AJ17" s="205">
        <v>61119</v>
      </c>
      <c r="AK17" s="203">
        <v>14632</v>
      </c>
      <c r="AL17" s="203">
        <v>12625</v>
      </c>
      <c r="AM17" s="203">
        <v>11972</v>
      </c>
      <c r="AN17" s="305">
        <v>11653</v>
      </c>
      <c r="AO17" s="205">
        <v>50882</v>
      </c>
      <c r="AP17" s="203">
        <v>11658</v>
      </c>
      <c r="AQ17" s="203">
        <v>13463</v>
      </c>
      <c r="AR17" s="203">
        <v>11449</v>
      </c>
      <c r="AS17" s="203">
        <v>9204</v>
      </c>
      <c r="AT17" s="205">
        <v>45774</v>
      </c>
      <c r="AU17" s="203">
        <v>8904</v>
      </c>
    </row>
    <row r="18" spans="1:47" ht="15" customHeight="1" x14ac:dyDescent="0.25">
      <c r="A18" s="195" t="s">
        <v>199</v>
      </c>
      <c r="B18" s="166">
        <v>1144</v>
      </c>
      <c r="C18" s="166">
        <v>1977</v>
      </c>
      <c r="D18" s="166">
        <v>1690</v>
      </c>
      <c r="E18" s="166">
        <v>3183</v>
      </c>
      <c r="F18" s="167">
        <v>7995</v>
      </c>
      <c r="G18" s="166">
        <v>2007</v>
      </c>
      <c r="H18" s="166">
        <v>1457</v>
      </c>
      <c r="I18" s="166">
        <v>1640</v>
      </c>
      <c r="J18" s="166">
        <v>2106</v>
      </c>
      <c r="K18" s="167">
        <v>7211</v>
      </c>
      <c r="L18" s="166">
        <v>2944</v>
      </c>
      <c r="M18" s="166">
        <v>3092</v>
      </c>
      <c r="N18" s="166">
        <v>2822</v>
      </c>
      <c r="O18" s="166">
        <v>2369</v>
      </c>
      <c r="P18" s="168">
        <v>11226</v>
      </c>
      <c r="Q18" s="166">
        <v>2221</v>
      </c>
      <c r="R18" s="166">
        <v>2245</v>
      </c>
      <c r="S18" s="166">
        <v>2724</v>
      </c>
      <c r="T18" s="166">
        <v>3412</v>
      </c>
      <c r="U18" s="168">
        <v>10602</v>
      </c>
      <c r="V18" s="166">
        <v>3477</v>
      </c>
      <c r="W18" s="166">
        <v>3534</v>
      </c>
      <c r="X18" s="166">
        <v>4249</v>
      </c>
      <c r="Y18" s="166">
        <v>5248</v>
      </c>
      <c r="Z18" s="168">
        <v>16508</v>
      </c>
      <c r="AA18" s="166">
        <v>5650</v>
      </c>
      <c r="AB18" s="166">
        <v>1658</v>
      </c>
      <c r="AC18" s="166">
        <v>1721</v>
      </c>
      <c r="AD18" s="166">
        <v>1712</v>
      </c>
      <c r="AE18" s="168">
        <v>10741</v>
      </c>
      <c r="AF18" s="166">
        <v>1753</v>
      </c>
      <c r="AG18" s="166">
        <v>2207</v>
      </c>
      <c r="AH18" s="166">
        <v>2557</v>
      </c>
      <c r="AI18" s="166">
        <v>2967</v>
      </c>
      <c r="AJ18" s="168">
        <v>9484</v>
      </c>
      <c r="AK18" s="166">
        <v>3293</v>
      </c>
      <c r="AL18" s="166">
        <v>3181</v>
      </c>
      <c r="AM18" s="166">
        <v>3208</v>
      </c>
      <c r="AN18" s="166">
        <v>12792</v>
      </c>
      <c r="AO18" s="168">
        <v>22474</v>
      </c>
      <c r="AP18" s="166">
        <v>10326</v>
      </c>
      <c r="AQ18" s="166">
        <v>8518</v>
      </c>
      <c r="AR18" s="166">
        <v>9383</v>
      </c>
      <c r="AS18" s="166">
        <v>10258</v>
      </c>
      <c r="AT18" s="168">
        <v>38485</v>
      </c>
      <c r="AU18" s="166">
        <v>12328</v>
      </c>
    </row>
    <row r="19" spans="1:47" ht="15" customHeight="1" x14ac:dyDescent="0.25">
      <c r="A19" s="195" t="s">
        <v>200</v>
      </c>
      <c r="B19" s="166">
        <v>992</v>
      </c>
      <c r="C19" s="166">
        <v>1112</v>
      </c>
      <c r="D19" s="166">
        <v>1330</v>
      </c>
      <c r="E19" s="166">
        <v>1744</v>
      </c>
      <c r="F19" s="167">
        <v>5178</v>
      </c>
      <c r="G19" s="166">
        <v>1771</v>
      </c>
      <c r="H19" s="166">
        <v>2019</v>
      </c>
      <c r="I19" s="166">
        <v>1813</v>
      </c>
      <c r="J19" s="166">
        <v>2153</v>
      </c>
      <c r="K19" s="167">
        <v>7757</v>
      </c>
      <c r="L19" s="166">
        <v>4961</v>
      </c>
      <c r="M19" s="166">
        <v>4925</v>
      </c>
      <c r="N19" s="166">
        <v>5102</v>
      </c>
      <c r="O19" s="166">
        <v>4856</v>
      </c>
      <c r="P19" s="168">
        <v>19844</v>
      </c>
      <c r="Q19" s="166">
        <v>4454</v>
      </c>
      <c r="R19" s="166">
        <v>4518</v>
      </c>
      <c r="S19" s="166">
        <v>4442</v>
      </c>
      <c r="T19" s="166">
        <v>4831</v>
      </c>
      <c r="U19" s="168">
        <v>18245</v>
      </c>
      <c r="V19" s="166">
        <v>4864</v>
      </c>
      <c r="W19" s="166">
        <v>5109</v>
      </c>
      <c r="X19" s="166">
        <v>4178</v>
      </c>
      <c r="Y19" s="166">
        <v>10763</v>
      </c>
      <c r="Z19" s="168">
        <v>24914</v>
      </c>
      <c r="AA19" s="166">
        <v>4340</v>
      </c>
      <c r="AB19" s="166">
        <v>4221</v>
      </c>
      <c r="AC19" s="166">
        <v>4176</v>
      </c>
      <c r="AD19" s="166">
        <v>4033</v>
      </c>
      <c r="AE19" s="168">
        <v>16770</v>
      </c>
      <c r="AF19" s="166">
        <v>3954</v>
      </c>
      <c r="AG19" s="166">
        <v>3702</v>
      </c>
      <c r="AH19" s="166">
        <v>3545</v>
      </c>
      <c r="AI19" s="166">
        <v>3579</v>
      </c>
      <c r="AJ19" s="168">
        <v>14780</v>
      </c>
      <c r="AK19" s="166">
        <v>3609</v>
      </c>
      <c r="AL19" s="166">
        <v>3729</v>
      </c>
      <c r="AM19" s="166">
        <v>3540</v>
      </c>
      <c r="AN19" s="166">
        <v>3930</v>
      </c>
      <c r="AO19" s="168">
        <v>14808</v>
      </c>
      <c r="AP19" s="166">
        <v>2816</v>
      </c>
      <c r="AQ19" s="166">
        <v>4059</v>
      </c>
      <c r="AR19" s="166">
        <v>3252</v>
      </c>
      <c r="AS19" s="166">
        <v>3140</v>
      </c>
      <c r="AT19" s="168">
        <v>13267</v>
      </c>
      <c r="AU19" s="166">
        <v>3233</v>
      </c>
    </row>
    <row r="20" spans="1:47" ht="15" customHeight="1" x14ac:dyDescent="0.25">
      <c r="A20" s="195" t="s">
        <v>201</v>
      </c>
      <c r="B20" s="200">
        <v>321</v>
      </c>
      <c r="C20" s="200">
        <v>376</v>
      </c>
      <c r="D20" s="200">
        <v>369</v>
      </c>
      <c r="E20" s="200">
        <v>461</v>
      </c>
      <c r="F20" s="201">
        <v>1526</v>
      </c>
      <c r="G20" s="200">
        <v>518</v>
      </c>
      <c r="H20" s="200">
        <v>604</v>
      </c>
      <c r="I20" s="200">
        <v>912</v>
      </c>
      <c r="J20" s="200">
        <v>1308</v>
      </c>
      <c r="K20" s="201">
        <v>3342</v>
      </c>
      <c r="L20" s="200">
        <v>1171</v>
      </c>
      <c r="M20" s="200">
        <v>1286</v>
      </c>
      <c r="N20" s="200">
        <v>1511</v>
      </c>
      <c r="O20" s="200">
        <v>1770</v>
      </c>
      <c r="P20" s="202">
        <v>5738</v>
      </c>
      <c r="Q20" s="200">
        <v>1722</v>
      </c>
      <c r="R20" s="200">
        <v>1747</v>
      </c>
      <c r="S20" s="200">
        <v>1882</v>
      </c>
      <c r="T20" s="200">
        <v>1955</v>
      </c>
      <c r="U20" s="202">
        <v>7306</v>
      </c>
      <c r="V20" s="200">
        <v>1820</v>
      </c>
      <c r="W20" s="200">
        <v>1825</v>
      </c>
      <c r="X20" s="200">
        <v>1768</v>
      </c>
      <c r="Y20" s="200">
        <v>1787</v>
      </c>
      <c r="Z20" s="202">
        <v>7200</v>
      </c>
      <c r="AA20" s="200">
        <v>1377</v>
      </c>
      <c r="AB20" s="200">
        <v>1231</v>
      </c>
      <c r="AC20" s="200">
        <v>1143</v>
      </c>
      <c r="AD20" s="200">
        <v>1041</v>
      </c>
      <c r="AE20" s="202">
        <v>4792</v>
      </c>
      <c r="AF20" s="200">
        <v>903</v>
      </c>
      <c r="AG20" s="200">
        <v>838</v>
      </c>
      <c r="AH20" s="200">
        <v>679</v>
      </c>
      <c r="AI20" s="200">
        <v>599</v>
      </c>
      <c r="AJ20" s="202">
        <v>3019</v>
      </c>
      <c r="AK20" s="200">
        <v>610</v>
      </c>
      <c r="AL20" s="200">
        <v>606</v>
      </c>
      <c r="AM20" s="200">
        <v>563</v>
      </c>
      <c r="AN20" s="200">
        <v>-925</v>
      </c>
      <c r="AO20" s="202">
        <v>854</v>
      </c>
      <c r="AP20" s="200">
        <v>520</v>
      </c>
      <c r="AQ20" s="200">
        <v>566</v>
      </c>
      <c r="AR20" s="200">
        <v>564</v>
      </c>
      <c r="AS20" s="200">
        <v>477</v>
      </c>
      <c r="AT20" s="202">
        <v>2127</v>
      </c>
      <c r="AU20" s="200">
        <v>453</v>
      </c>
    </row>
    <row r="21" spans="1:47" ht="15" customHeight="1" x14ac:dyDescent="0.25">
      <c r="A21" s="142" t="s">
        <v>205</v>
      </c>
      <c r="B21" s="192">
        <f t="shared" ref="B21:AH21" si="28">SUM(B23:B23)</f>
        <v>0</v>
      </c>
      <c r="C21" s="192">
        <f t="shared" si="28"/>
        <v>0</v>
      </c>
      <c r="D21" s="192">
        <f t="shared" si="28"/>
        <v>0</v>
      </c>
      <c r="E21" s="192">
        <f t="shared" si="28"/>
        <v>0</v>
      </c>
      <c r="F21" s="193">
        <f t="shared" si="28"/>
        <v>0</v>
      </c>
      <c r="G21" s="192">
        <f t="shared" si="28"/>
        <v>0</v>
      </c>
      <c r="H21" s="192">
        <f t="shared" si="28"/>
        <v>148</v>
      </c>
      <c r="I21" s="192">
        <f t="shared" si="28"/>
        <v>1793</v>
      </c>
      <c r="J21" s="192">
        <f t="shared" si="28"/>
        <v>980</v>
      </c>
      <c r="K21" s="193">
        <f t="shared" si="28"/>
        <v>2921</v>
      </c>
      <c r="L21" s="192">
        <f t="shared" si="28"/>
        <v>6</v>
      </c>
      <c r="M21" s="192">
        <f t="shared" si="28"/>
        <v>0</v>
      </c>
      <c r="N21" s="192">
        <f t="shared" si="28"/>
        <v>0</v>
      </c>
      <c r="O21" s="192">
        <f t="shared" si="28"/>
        <v>0</v>
      </c>
      <c r="P21" s="194">
        <f t="shared" si="28"/>
        <v>6</v>
      </c>
      <c r="Q21" s="192">
        <f t="shared" si="28"/>
        <v>0</v>
      </c>
      <c r="R21" s="192">
        <f t="shared" si="28"/>
        <v>0</v>
      </c>
      <c r="S21" s="192">
        <f t="shared" si="28"/>
        <v>516</v>
      </c>
      <c r="T21" s="192">
        <f t="shared" si="28"/>
        <v>1222</v>
      </c>
      <c r="U21" s="194">
        <f t="shared" si="28"/>
        <v>1738</v>
      </c>
      <c r="V21" s="192">
        <f t="shared" si="28"/>
        <v>0</v>
      </c>
      <c r="W21" s="192">
        <f t="shared" si="28"/>
        <v>0</v>
      </c>
      <c r="X21" s="192">
        <f t="shared" si="28"/>
        <v>0</v>
      </c>
      <c r="Y21" s="192">
        <f t="shared" si="28"/>
        <v>0</v>
      </c>
      <c r="Z21" s="194">
        <f t="shared" si="28"/>
        <v>0</v>
      </c>
      <c r="AA21" s="192">
        <f t="shared" si="28"/>
        <v>0</v>
      </c>
      <c r="AB21" s="192">
        <f t="shared" si="28"/>
        <v>0</v>
      </c>
      <c r="AC21" s="192">
        <f t="shared" si="28"/>
        <v>112</v>
      </c>
      <c r="AD21" s="192">
        <f t="shared" si="28"/>
        <v>174</v>
      </c>
      <c r="AE21" s="194">
        <f t="shared" si="28"/>
        <v>286</v>
      </c>
      <c r="AF21" s="192">
        <f t="shared" si="28"/>
        <v>0</v>
      </c>
      <c r="AG21" s="192">
        <f t="shared" si="28"/>
        <v>3047</v>
      </c>
      <c r="AH21" s="192">
        <f t="shared" si="28"/>
        <v>2091</v>
      </c>
      <c r="AI21" s="192">
        <f>SUM(AI23:AI23)</f>
        <v>6118</v>
      </c>
      <c r="AJ21" s="194">
        <f>SUM(AJ23:AJ23)</f>
        <v>11256</v>
      </c>
      <c r="AK21" s="192">
        <f>SUM(AK23:AK23)</f>
        <v>2544</v>
      </c>
      <c r="AL21" s="192">
        <f t="shared" ref="AL21:AQ21" si="29">SUM(AL22:AL23)</f>
        <v>1977</v>
      </c>
      <c r="AM21" s="192">
        <f t="shared" si="29"/>
        <v>6970</v>
      </c>
      <c r="AN21" s="192">
        <f t="shared" si="29"/>
        <v>1093</v>
      </c>
      <c r="AO21" s="194">
        <f t="shared" si="29"/>
        <v>12584</v>
      </c>
      <c r="AP21" s="192">
        <f t="shared" si="29"/>
        <v>832</v>
      </c>
      <c r="AQ21" s="192">
        <f t="shared" si="29"/>
        <v>362</v>
      </c>
      <c r="AR21" s="192">
        <f t="shared" ref="AR21:AU21" si="30">SUM(AR22:AR23)</f>
        <v>86</v>
      </c>
      <c r="AS21" s="192">
        <f t="shared" si="30"/>
        <v>613</v>
      </c>
      <c r="AT21" s="194">
        <f t="shared" si="30"/>
        <v>1894</v>
      </c>
      <c r="AU21" s="192">
        <f t="shared" si="30"/>
        <v>0</v>
      </c>
    </row>
    <row r="22" spans="1:47" ht="15" customHeight="1" x14ac:dyDescent="0.25">
      <c r="A22" s="302" t="s">
        <v>199</v>
      </c>
      <c r="B22" s="206"/>
      <c r="C22" s="206"/>
      <c r="D22" s="206"/>
      <c r="E22" s="206"/>
      <c r="F22" s="207"/>
      <c r="G22" s="206"/>
      <c r="H22" s="206"/>
      <c r="I22" s="206"/>
      <c r="J22" s="206"/>
      <c r="K22" s="207"/>
      <c r="L22" s="206"/>
      <c r="M22" s="206"/>
      <c r="N22" s="206"/>
      <c r="O22" s="206"/>
      <c r="P22" s="208"/>
      <c r="Q22" s="206"/>
      <c r="R22" s="206"/>
      <c r="S22" s="206"/>
      <c r="T22" s="209"/>
      <c r="U22" s="210"/>
      <c r="V22" s="209"/>
      <c r="W22" s="209"/>
      <c r="X22" s="209"/>
      <c r="Y22" s="209"/>
      <c r="Z22" s="210"/>
      <c r="AA22" s="209"/>
      <c r="AB22" s="209"/>
      <c r="AC22" s="209"/>
      <c r="AD22" s="209"/>
      <c r="AE22" s="210"/>
      <c r="AF22" s="209"/>
      <c r="AG22" s="209"/>
      <c r="AH22" s="209"/>
      <c r="AI22" s="209"/>
      <c r="AJ22" s="210"/>
      <c r="AK22" s="209"/>
      <c r="AL22" s="166">
        <v>178</v>
      </c>
      <c r="AM22" s="166">
        <v>-11</v>
      </c>
      <c r="AN22" s="199">
        <v>-2</v>
      </c>
      <c r="AO22" s="168">
        <v>165</v>
      </c>
      <c r="AP22" s="209">
        <v>404</v>
      </c>
      <c r="AQ22" s="166">
        <v>99</v>
      </c>
      <c r="AR22" s="199">
        <v>4</v>
      </c>
      <c r="AS22" s="199">
        <v>-3</v>
      </c>
      <c r="AT22" s="303">
        <v>504</v>
      </c>
      <c r="AU22" s="209">
        <v>0</v>
      </c>
    </row>
    <row r="23" spans="1:47" ht="15" customHeight="1" x14ac:dyDescent="0.25">
      <c r="A23" s="302" t="s">
        <v>201</v>
      </c>
      <c r="B23" s="200"/>
      <c r="C23" s="200"/>
      <c r="D23" s="200"/>
      <c r="E23" s="200"/>
      <c r="F23" s="201"/>
      <c r="G23" s="200">
        <v>0</v>
      </c>
      <c r="H23" s="200">
        <v>148</v>
      </c>
      <c r="I23" s="200">
        <v>1793</v>
      </c>
      <c r="J23" s="200">
        <v>980</v>
      </c>
      <c r="K23" s="201">
        <v>2921</v>
      </c>
      <c r="L23" s="200">
        <v>6</v>
      </c>
      <c r="M23" s="200"/>
      <c r="N23" s="200">
        <v>0</v>
      </c>
      <c r="O23" s="200">
        <v>0</v>
      </c>
      <c r="P23" s="202">
        <v>6</v>
      </c>
      <c r="Q23" s="200">
        <v>0</v>
      </c>
      <c r="R23" s="200">
        <v>0</v>
      </c>
      <c r="S23" s="200">
        <v>516</v>
      </c>
      <c r="T23" s="200">
        <v>1222</v>
      </c>
      <c r="U23" s="171">
        <f>SUM(Q23:T23)</f>
        <v>1738</v>
      </c>
      <c r="V23" s="200">
        <v>0</v>
      </c>
      <c r="W23" s="200">
        <v>0</v>
      </c>
      <c r="X23" s="200">
        <v>0</v>
      </c>
      <c r="Y23" s="200">
        <v>0</v>
      </c>
      <c r="Z23" s="171">
        <v>0</v>
      </c>
      <c r="AA23" s="200">
        <v>0</v>
      </c>
      <c r="AB23" s="200">
        <v>0</v>
      </c>
      <c r="AC23" s="200">
        <v>112</v>
      </c>
      <c r="AD23" s="200">
        <v>174</v>
      </c>
      <c r="AE23" s="202">
        <v>286</v>
      </c>
      <c r="AF23" s="200">
        <v>0</v>
      </c>
      <c r="AG23" s="200">
        <v>3047</v>
      </c>
      <c r="AH23" s="200">
        <v>2091</v>
      </c>
      <c r="AI23" s="200">
        <v>6118</v>
      </c>
      <c r="AJ23" s="202">
        <v>11256</v>
      </c>
      <c r="AK23" s="200">
        <v>2544</v>
      </c>
      <c r="AL23" s="200">
        <v>1799</v>
      </c>
      <c r="AM23" s="200">
        <v>6981</v>
      </c>
      <c r="AN23" s="301">
        <v>1095</v>
      </c>
      <c r="AO23" s="168">
        <v>12419</v>
      </c>
      <c r="AP23" s="200">
        <v>428</v>
      </c>
      <c r="AQ23" s="200">
        <v>263</v>
      </c>
      <c r="AR23" s="301">
        <v>82</v>
      </c>
      <c r="AS23" s="301">
        <f>616</f>
        <v>616</v>
      </c>
      <c r="AT23" s="304">
        <v>1390</v>
      </c>
      <c r="AU23" s="200">
        <v>0</v>
      </c>
    </row>
    <row r="24" spans="1:47" x14ac:dyDescent="0.25">
      <c r="A24" s="12" t="s">
        <v>206</v>
      </c>
      <c r="B24" s="192">
        <f t="shared" ref="B24:G24" si="31">SUM(B25:B26)</f>
        <v>109</v>
      </c>
      <c r="C24" s="192">
        <f t="shared" si="31"/>
        <v>115</v>
      </c>
      <c r="D24" s="192">
        <f t="shared" si="31"/>
        <v>54</v>
      </c>
      <c r="E24" s="192">
        <f t="shared" si="31"/>
        <v>-2172</v>
      </c>
      <c r="F24" s="193">
        <f t="shared" si="31"/>
        <v>-1894</v>
      </c>
      <c r="G24" s="192">
        <f t="shared" si="31"/>
        <v>40</v>
      </c>
      <c r="H24" s="192">
        <f t="shared" ref="H24:Z24" si="32">SUM(H25:H26)</f>
        <v>44</v>
      </c>
      <c r="I24" s="192">
        <f t="shared" si="32"/>
        <v>3</v>
      </c>
      <c r="J24" s="192">
        <f t="shared" si="32"/>
        <v>-3</v>
      </c>
      <c r="K24" s="193">
        <f t="shared" si="32"/>
        <v>85</v>
      </c>
      <c r="L24" s="192">
        <f t="shared" si="32"/>
        <v>0</v>
      </c>
      <c r="M24" s="192">
        <f t="shared" si="32"/>
        <v>0</v>
      </c>
      <c r="N24" s="192">
        <f t="shared" si="32"/>
        <v>0</v>
      </c>
      <c r="O24" s="192">
        <f t="shared" si="32"/>
        <v>0</v>
      </c>
      <c r="P24" s="194">
        <f t="shared" si="32"/>
        <v>0</v>
      </c>
      <c r="Q24" s="192">
        <f t="shared" si="32"/>
        <v>0</v>
      </c>
      <c r="R24" s="192">
        <f t="shared" si="32"/>
        <v>0</v>
      </c>
      <c r="S24" s="192">
        <f t="shared" ref="S24" si="33">SUM(S25:S26)</f>
        <v>0</v>
      </c>
      <c r="T24" s="192">
        <f t="shared" si="32"/>
        <v>0</v>
      </c>
      <c r="U24" s="194">
        <f t="shared" si="32"/>
        <v>0</v>
      </c>
      <c r="V24" s="192">
        <f t="shared" si="32"/>
        <v>0</v>
      </c>
      <c r="W24" s="192">
        <f t="shared" si="32"/>
        <v>0</v>
      </c>
      <c r="X24" s="192">
        <f t="shared" si="32"/>
        <v>0</v>
      </c>
      <c r="Y24" s="192">
        <f t="shared" si="32"/>
        <v>0</v>
      </c>
      <c r="Z24" s="194">
        <f t="shared" si="32"/>
        <v>0</v>
      </c>
      <c r="AA24" s="192">
        <f t="shared" ref="AA24:AE24" si="34">SUM(AA25:AA26)</f>
        <v>0</v>
      </c>
      <c r="AB24" s="192">
        <f t="shared" si="34"/>
        <v>0</v>
      </c>
      <c r="AC24" s="192">
        <f t="shared" si="34"/>
        <v>0</v>
      </c>
      <c r="AD24" s="192">
        <f t="shared" si="34"/>
        <v>0</v>
      </c>
      <c r="AE24" s="194">
        <f t="shared" si="34"/>
        <v>0</v>
      </c>
      <c r="AF24" s="192">
        <f t="shared" ref="AF24:AJ24" si="35">SUM(AF25:AF26)</f>
        <v>0</v>
      </c>
      <c r="AG24" s="192">
        <f t="shared" si="35"/>
        <v>0</v>
      </c>
      <c r="AH24" s="192">
        <f t="shared" si="35"/>
        <v>0</v>
      </c>
      <c r="AI24" s="192">
        <f t="shared" si="35"/>
        <v>0</v>
      </c>
      <c r="AJ24" s="194">
        <f t="shared" si="35"/>
        <v>0</v>
      </c>
      <c r="AK24" s="192">
        <f t="shared" ref="AK24:AL24" si="36">SUM(AK25:AK26)</f>
        <v>0</v>
      </c>
      <c r="AL24" s="192">
        <f t="shared" si="36"/>
        <v>0</v>
      </c>
      <c r="AM24" s="192">
        <f>SUM(AM25:AM26)</f>
        <v>0</v>
      </c>
      <c r="AN24" s="192">
        <f t="shared" ref="AN24:AQ24" si="37">SUM(AN25:AN26)</f>
        <v>0</v>
      </c>
      <c r="AO24" s="194">
        <f t="shared" si="37"/>
        <v>0</v>
      </c>
      <c r="AP24" s="192">
        <f t="shared" si="37"/>
        <v>0</v>
      </c>
      <c r="AQ24" s="192">
        <f t="shared" si="37"/>
        <v>0</v>
      </c>
      <c r="AR24" s="192">
        <f>SUM(AR25:AR26)</f>
        <v>0</v>
      </c>
      <c r="AS24" s="192">
        <f t="shared" ref="AS24:AU24" si="38">SUM(AS25:AS26)</f>
        <v>0</v>
      </c>
      <c r="AT24" s="194">
        <f t="shared" si="38"/>
        <v>0</v>
      </c>
      <c r="AU24" s="192">
        <f t="shared" si="38"/>
        <v>0</v>
      </c>
    </row>
    <row r="25" spans="1:47" ht="15" customHeight="1" x14ac:dyDescent="0.25">
      <c r="A25" s="195" t="s">
        <v>199</v>
      </c>
      <c r="B25" s="203">
        <v>109</v>
      </c>
      <c r="C25" s="203">
        <v>115</v>
      </c>
      <c r="D25" s="203">
        <v>54</v>
      </c>
      <c r="E25" s="203">
        <v>46</v>
      </c>
      <c r="F25" s="204">
        <v>324</v>
      </c>
      <c r="G25" s="203">
        <v>40</v>
      </c>
      <c r="H25" s="203">
        <v>44</v>
      </c>
      <c r="I25" s="203">
        <v>3</v>
      </c>
      <c r="J25" s="203">
        <v>-3</v>
      </c>
      <c r="K25" s="204">
        <v>85</v>
      </c>
      <c r="L25" s="203">
        <v>0</v>
      </c>
      <c r="M25" s="203"/>
      <c r="N25" s="203">
        <v>0</v>
      </c>
      <c r="O25" s="203">
        <v>0</v>
      </c>
      <c r="P25" s="205">
        <v>0</v>
      </c>
      <c r="Q25" s="203">
        <v>0</v>
      </c>
      <c r="R25" s="203">
        <v>0</v>
      </c>
      <c r="S25" s="203">
        <v>0</v>
      </c>
      <c r="T25" s="203">
        <v>0</v>
      </c>
      <c r="U25" s="205">
        <v>0</v>
      </c>
      <c r="V25" s="203">
        <v>0</v>
      </c>
      <c r="W25" s="203">
        <v>0</v>
      </c>
      <c r="X25" s="203">
        <v>0</v>
      </c>
      <c r="Y25" s="203">
        <v>0</v>
      </c>
      <c r="Z25" s="205">
        <v>0</v>
      </c>
      <c r="AA25" s="203">
        <v>0</v>
      </c>
      <c r="AB25" s="203">
        <v>0</v>
      </c>
      <c r="AC25" s="203">
        <v>0</v>
      </c>
      <c r="AD25" s="203">
        <v>0</v>
      </c>
      <c r="AE25" s="205">
        <v>0</v>
      </c>
      <c r="AF25" s="203">
        <v>0</v>
      </c>
      <c r="AG25" s="203"/>
      <c r="AH25" s="203">
        <v>0</v>
      </c>
      <c r="AI25" s="203">
        <v>0</v>
      </c>
      <c r="AJ25" s="205">
        <v>0</v>
      </c>
      <c r="AK25" s="203">
        <v>0</v>
      </c>
      <c r="AL25" s="203">
        <v>0</v>
      </c>
      <c r="AM25" s="203">
        <v>0</v>
      </c>
      <c r="AN25" s="203">
        <v>0</v>
      </c>
      <c r="AO25" s="205">
        <v>0</v>
      </c>
      <c r="AP25" s="203">
        <v>0</v>
      </c>
      <c r="AQ25" s="203">
        <v>0</v>
      </c>
      <c r="AR25" s="203">
        <v>0</v>
      </c>
      <c r="AS25" s="203">
        <v>0</v>
      </c>
      <c r="AT25" s="205">
        <v>0</v>
      </c>
      <c r="AU25" s="203">
        <v>0</v>
      </c>
    </row>
    <row r="26" spans="1:47" ht="15" customHeight="1" x14ac:dyDescent="0.25">
      <c r="A26" s="195" t="s">
        <v>201</v>
      </c>
      <c r="B26" s="200">
        <v>0</v>
      </c>
      <c r="C26" s="200"/>
      <c r="D26" s="200"/>
      <c r="E26" s="200">
        <v>-2218</v>
      </c>
      <c r="F26" s="201">
        <v>-2218</v>
      </c>
      <c r="G26" s="200">
        <v>0</v>
      </c>
      <c r="H26" s="200">
        <v>0</v>
      </c>
      <c r="I26" s="200">
        <v>0</v>
      </c>
      <c r="J26" s="200">
        <v>0</v>
      </c>
      <c r="K26" s="201">
        <v>0</v>
      </c>
      <c r="L26" s="200">
        <v>0</v>
      </c>
      <c r="M26" s="200"/>
      <c r="N26" s="200">
        <v>0</v>
      </c>
      <c r="O26" s="200">
        <v>0</v>
      </c>
      <c r="P26" s="202">
        <v>0</v>
      </c>
      <c r="Q26" s="200">
        <v>0</v>
      </c>
      <c r="R26" s="200">
        <v>0</v>
      </c>
      <c r="S26" s="200">
        <v>0</v>
      </c>
      <c r="T26" s="200">
        <v>0</v>
      </c>
      <c r="U26" s="202">
        <v>0</v>
      </c>
      <c r="V26" s="200">
        <v>0</v>
      </c>
      <c r="W26" s="200">
        <v>0</v>
      </c>
      <c r="X26" s="200">
        <v>0</v>
      </c>
      <c r="Y26" s="200">
        <v>0</v>
      </c>
      <c r="Z26" s="202">
        <v>0</v>
      </c>
      <c r="AA26" s="200">
        <v>0</v>
      </c>
      <c r="AB26" s="200">
        <v>0</v>
      </c>
      <c r="AC26" s="200">
        <v>0</v>
      </c>
      <c r="AD26" s="200">
        <v>0</v>
      </c>
      <c r="AE26" s="202">
        <v>0</v>
      </c>
      <c r="AF26" s="200">
        <v>0</v>
      </c>
      <c r="AG26" s="200"/>
      <c r="AH26" s="200">
        <v>0</v>
      </c>
      <c r="AI26" s="200">
        <v>0</v>
      </c>
      <c r="AJ26" s="202">
        <v>0</v>
      </c>
      <c r="AK26" s="200">
        <v>0</v>
      </c>
      <c r="AL26" s="200">
        <v>0</v>
      </c>
      <c r="AM26" s="200">
        <v>0</v>
      </c>
      <c r="AN26" s="200">
        <v>0</v>
      </c>
      <c r="AO26" s="202">
        <v>0</v>
      </c>
      <c r="AP26" s="200">
        <v>0</v>
      </c>
      <c r="AQ26" s="200">
        <v>0</v>
      </c>
      <c r="AR26" s="200">
        <v>0</v>
      </c>
      <c r="AS26" s="200">
        <v>0</v>
      </c>
      <c r="AT26" s="202">
        <v>0</v>
      </c>
      <c r="AU26" s="200">
        <v>0</v>
      </c>
    </row>
    <row r="27" spans="1:47" ht="15" customHeight="1" x14ac:dyDescent="0.25">
      <c r="A27" s="12" t="s">
        <v>207</v>
      </c>
      <c r="B27" s="200"/>
      <c r="C27" s="200"/>
      <c r="D27" s="200"/>
      <c r="E27" s="200"/>
      <c r="F27" s="201"/>
      <c r="G27" s="200"/>
      <c r="H27" s="200"/>
      <c r="I27" s="200"/>
      <c r="J27" s="200"/>
      <c r="K27" s="201"/>
      <c r="L27" s="200"/>
      <c r="M27" s="200"/>
      <c r="N27" s="200"/>
      <c r="O27" s="200"/>
      <c r="P27" s="202"/>
      <c r="Q27" s="200"/>
      <c r="R27" s="200"/>
      <c r="S27" s="200"/>
      <c r="T27" s="166"/>
      <c r="U27" s="168"/>
      <c r="V27" s="166"/>
      <c r="W27" s="166"/>
      <c r="X27" s="166"/>
      <c r="Y27" s="166"/>
      <c r="Z27" s="168"/>
      <c r="AA27" s="166"/>
      <c r="AB27" s="166"/>
      <c r="AC27" s="166"/>
      <c r="AD27" s="166"/>
      <c r="AE27" s="168"/>
      <c r="AF27" s="166"/>
      <c r="AG27" s="166"/>
      <c r="AH27" s="166"/>
      <c r="AI27" s="166"/>
      <c r="AJ27" s="168"/>
      <c r="AK27" s="166"/>
      <c r="AL27" s="211">
        <f>SUM(AL28)</f>
        <v>65684</v>
      </c>
      <c r="AM27" s="211">
        <f>SUM(AM28)</f>
        <v>-1764</v>
      </c>
      <c r="AN27" s="211">
        <f>SUM(AN28)</f>
        <v>-699</v>
      </c>
      <c r="AO27" s="194">
        <f>SUM(AO28)</f>
        <v>63221</v>
      </c>
      <c r="AP27" s="166">
        <v>0</v>
      </c>
      <c r="AQ27" s="211">
        <f>SUM(AQ28)</f>
        <v>-21616</v>
      </c>
      <c r="AR27" s="211">
        <f>SUM(AR28)</f>
        <v>-51</v>
      </c>
      <c r="AS27" s="211">
        <f>SUM(AS28)</f>
        <v>35</v>
      </c>
      <c r="AT27" s="303">
        <f>SUM(AT28)</f>
        <v>-21632</v>
      </c>
      <c r="AU27" s="166">
        <v>0</v>
      </c>
    </row>
    <row r="28" spans="1:47" ht="15" customHeight="1" x14ac:dyDescent="0.25">
      <c r="A28" s="195" t="s">
        <v>201</v>
      </c>
      <c r="B28" s="200"/>
      <c r="C28" s="200"/>
      <c r="D28" s="200"/>
      <c r="E28" s="200"/>
      <c r="F28" s="201"/>
      <c r="G28" s="200"/>
      <c r="H28" s="200"/>
      <c r="I28" s="200"/>
      <c r="J28" s="200"/>
      <c r="K28" s="201"/>
      <c r="L28" s="200"/>
      <c r="M28" s="200"/>
      <c r="N28" s="200"/>
      <c r="O28" s="200"/>
      <c r="P28" s="202"/>
      <c r="Q28" s="200"/>
      <c r="R28" s="200"/>
      <c r="S28" s="200"/>
      <c r="T28" s="200">
        <v>0</v>
      </c>
      <c r="U28" s="202">
        <v>0</v>
      </c>
      <c r="V28" s="200">
        <v>0</v>
      </c>
      <c r="W28" s="200">
        <v>0</v>
      </c>
      <c r="X28" s="200">
        <v>0</v>
      </c>
      <c r="Y28" s="200">
        <v>0</v>
      </c>
      <c r="Z28" s="202">
        <v>0</v>
      </c>
      <c r="AA28" s="200">
        <v>0</v>
      </c>
      <c r="AB28" s="200">
        <v>0</v>
      </c>
      <c r="AC28" s="200">
        <v>0</v>
      </c>
      <c r="AD28" s="200">
        <v>0</v>
      </c>
      <c r="AE28" s="202">
        <v>0</v>
      </c>
      <c r="AF28" s="200">
        <v>0</v>
      </c>
      <c r="AG28" s="200"/>
      <c r="AH28" s="200">
        <v>0</v>
      </c>
      <c r="AI28" s="200">
        <v>0</v>
      </c>
      <c r="AJ28" s="202">
        <v>0</v>
      </c>
      <c r="AK28" s="200">
        <v>0</v>
      </c>
      <c r="AL28" s="200">
        <v>65684</v>
      </c>
      <c r="AM28" s="200">
        <v>-1764</v>
      </c>
      <c r="AN28" s="200">
        <v>-699</v>
      </c>
      <c r="AO28" s="202">
        <v>63221</v>
      </c>
      <c r="AP28" s="200">
        <v>0</v>
      </c>
      <c r="AQ28" s="200">
        <v>-21616</v>
      </c>
      <c r="AR28" s="200">
        <v>-51</v>
      </c>
      <c r="AS28" s="200">
        <v>35</v>
      </c>
      <c r="AT28" s="304">
        <v>-21632</v>
      </c>
      <c r="AU28" s="200">
        <v>0</v>
      </c>
    </row>
    <row r="29" spans="1:47" ht="27" customHeight="1" x14ac:dyDescent="0.25">
      <c r="A29" s="142" t="s">
        <v>208</v>
      </c>
      <c r="B29" s="192">
        <f t="shared" ref="B29:F29" si="39">SUM(B30:B33)</f>
        <v>0</v>
      </c>
      <c r="C29" s="192">
        <f t="shared" si="39"/>
        <v>0</v>
      </c>
      <c r="D29" s="192">
        <f t="shared" si="39"/>
        <v>0</v>
      </c>
      <c r="E29" s="192">
        <f t="shared" si="39"/>
        <v>0</v>
      </c>
      <c r="F29" s="193">
        <f t="shared" si="39"/>
        <v>0</v>
      </c>
      <c r="G29" s="192">
        <f>SUM(G30:G33)</f>
        <v>0</v>
      </c>
      <c r="H29" s="192">
        <f>SUM(H30:H33)</f>
        <v>0</v>
      </c>
      <c r="I29" s="192">
        <f>SUM(I30:I33)</f>
        <v>0</v>
      </c>
      <c r="J29" s="192">
        <f t="shared" ref="J29:K29" si="40">SUM(J30:J33)</f>
        <v>0</v>
      </c>
      <c r="K29" s="193">
        <f t="shared" si="40"/>
        <v>0</v>
      </c>
      <c r="L29" s="192">
        <f>SUM(L30:L33)</f>
        <v>0</v>
      </c>
      <c r="M29" s="192">
        <f t="shared" ref="M29:P29" si="41">SUM(M30:M33)</f>
        <v>3299</v>
      </c>
      <c r="N29" s="192">
        <f>SUM(N30:N33)</f>
        <v>0</v>
      </c>
      <c r="O29" s="192">
        <f t="shared" si="41"/>
        <v>4057</v>
      </c>
      <c r="P29" s="194">
        <f t="shared" si="41"/>
        <v>7356</v>
      </c>
      <c r="Q29" s="192">
        <f>SUM(Q30:Q33)</f>
        <v>-252</v>
      </c>
      <c r="R29" s="192">
        <f>SUM(R30:R33)</f>
        <v>199</v>
      </c>
      <c r="S29" s="192">
        <f>SUM(S30:S33)</f>
        <v>0</v>
      </c>
      <c r="T29" s="192">
        <f t="shared" ref="T29:U29" si="42">SUM(T30:T33)</f>
        <v>0</v>
      </c>
      <c r="U29" s="194">
        <f t="shared" si="42"/>
        <v>-53</v>
      </c>
      <c r="V29" s="192">
        <f>SUM(V30:V33)</f>
        <v>1890</v>
      </c>
      <c r="W29" s="192">
        <f>SUM(W30:W33)</f>
        <v>728</v>
      </c>
      <c r="X29" s="192">
        <f>SUM(X30:X33)</f>
        <v>303</v>
      </c>
      <c r="Y29" s="192">
        <f t="shared" ref="Y29:Z29" si="43">SUM(Y30:Y33)</f>
        <v>10661</v>
      </c>
      <c r="Z29" s="194">
        <f t="shared" si="43"/>
        <v>13582</v>
      </c>
      <c r="AA29" s="192">
        <f>SUM(AA30:AA33)</f>
        <v>2209</v>
      </c>
      <c r="AB29" s="192">
        <f>SUM(AB30:AB33)</f>
        <v>1216</v>
      </c>
      <c r="AC29" s="192">
        <f>SUM(AC30:AC33)</f>
        <v>12181</v>
      </c>
      <c r="AD29" s="192">
        <f t="shared" ref="AD29:AE29" si="44">SUM(AD30:AD33)</f>
        <v>4383</v>
      </c>
      <c r="AE29" s="194">
        <f t="shared" si="44"/>
        <v>19989</v>
      </c>
      <c r="AF29" s="192">
        <f>SUM(AF30:AF33)</f>
        <v>11636</v>
      </c>
      <c r="AG29" s="192">
        <f>SUM(AG30:AG33)</f>
        <v>9996</v>
      </c>
      <c r="AH29" s="192">
        <f>SUM(AH30:AH33)</f>
        <v>-1767</v>
      </c>
      <c r="AI29" s="192">
        <f t="shared" ref="AI29:AJ29" si="45">SUM(AI30:AI33)</f>
        <v>1833</v>
      </c>
      <c r="AJ29" s="194">
        <f t="shared" si="45"/>
        <v>21698</v>
      </c>
      <c r="AK29" s="192">
        <f>SUM(AK30:AK33)</f>
        <v>710</v>
      </c>
      <c r="AL29" s="192">
        <f>SUM(AL30:AL33)</f>
        <v>5925</v>
      </c>
      <c r="AM29" s="192">
        <f>SUM(AM30:AM33)</f>
        <v>-81</v>
      </c>
      <c r="AN29" s="192">
        <f>SUM(AN30:AN33)</f>
        <v>4123</v>
      </c>
      <c r="AO29" s="194">
        <f t="shared" ref="AO29" si="46">SUM(AO30:AO33)</f>
        <v>10677</v>
      </c>
      <c r="AP29" s="192">
        <f>SUM(AP30:AP33)</f>
        <v>9602</v>
      </c>
      <c r="AQ29" s="192">
        <f>SUM(AQ30:AQ33)</f>
        <v>21563</v>
      </c>
      <c r="AR29" s="192">
        <f>SUM(AR30:AR33)</f>
        <v>7833</v>
      </c>
      <c r="AS29" s="192">
        <f>SUM(AS30:AS33)</f>
        <v>5729</v>
      </c>
      <c r="AT29" s="194">
        <f t="shared" ref="AT29" si="47">SUM(AT30:AT33)</f>
        <v>44727</v>
      </c>
      <c r="AU29" s="192">
        <f>SUM(AU30:AU33)</f>
        <v>7943</v>
      </c>
    </row>
    <row r="30" spans="1:47" ht="15" customHeight="1" x14ac:dyDescent="0.25">
      <c r="A30" s="195" t="s">
        <v>107</v>
      </c>
      <c r="B30" s="203"/>
      <c r="C30" s="203"/>
      <c r="D30" s="203"/>
      <c r="E30" s="203"/>
      <c r="F30" s="204"/>
      <c r="G30" s="203">
        <v>0</v>
      </c>
      <c r="H30" s="203">
        <v>0</v>
      </c>
      <c r="I30" s="203">
        <v>0</v>
      </c>
      <c r="J30" s="203">
        <v>0</v>
      </c>
      <c r="K30" s="204">
        <v>0</v>
      </c>
      <c r="L30" s="203">
        <v>0</v>
      </c>
      <c r="M30" s="203">
        <v>2497</v>
      </c>
      <c r="N30" s="203">
        <v>0</v>
      </c>
      <c r="O30" s="203">
        <v>0</v>
      </c>
      <c r="P30" s="205">
        <v>2497</v>
      </c>
      <c r="Q30" s="203">
        <v>0</v>
      </c>
      <c r="R30" s="203">
        <v>0</v>
      </c>
      <c r="S30" s="203">
        <v>0</v>
      </c>
      <c r="T30" s="203">
        <v>0</v>
      </c>
      <c r="U30" s="212">
        <f>SUM(Q30:T30)</f>
        <v>0</v>
      </c>
      <c r="V30" s="203">
        <v>0</v>
      </c>
      <c r="W30" s="203">
        <v>0</v>
      </c>
      <c r="X30" s="203">
        <v>0</v>
      </c>
      <c r="Y30" s="203">
        <v>0</v>
      </c>
      <c r="Z30" s="212">
        <v>0</v>
      </c>
      <c r="AA30" s="203">
        <v>0</v>
      </c>
      <c r="AB30" s="203">
        <v>0</v>
      </c>
      <c r="AC30" s="203">
        <v>0</v>
      </c>
      <c r="AD30" s="203">
        <v>0</v>
      </c>
      <c r="AE30" s="212">
        <v>0</v>
      </c>
      <c r="AF30" s="203">
        <v>0</v>
      </c>
      <c r="AG30" s="203">
        <v>0</v>
      </c>
      <c r="AH30" s="203">
        <v>0</v>
      </c>
      <c r="AI30" s="203">
        <v>0</v>
      </c>
      <c r="AJ30" s="212">
        <v>0</v>
      </c>
      <c r="AK30" s="203">
        <v>0</v>
      </c>
      <c r="AL30" s="203">
        <v>0</v>
      </c>
      <c r="AM30" s="203">
        <v>0</v>
      </c>
      <c r="AN30" s="203">
        <v>0</v>
      </c>
      <c r="AO30" s="212">
        <v>0</v>
      </c>
      <c r="AP30" s="203">
        <v>0</v>
      </c>
      <c r="AQ30" s="203">
        <v>0</v>
      </c>
      <c r="AR30" s="203">
        <v>0</v>
      </c>
      <c r="AS30" s="203">
        <v>0</v>
      </c>
      <c r="AT30" s="212">
        <v>0</v>
      </c>
      <c r="AU30" s="203">
        <v>0</v>
      </c>
    </row>
    <row r="31" spans="1:47" ht="15" customHeight="1" x14ac:dyDescent="0.25">
      <c r="A31" s="195" t="s">
        <v>199</v>
      </c>
      <c r="B31" s="166"/>
      <c r="C31" s="166"/>
      <c r="D31" s="166"/>
      <c r="E31" s="166"/>
      <c r="F31" s="167"/>
      <c r="G31" s="166"/>
      <c r="H31" s="166"/>
      <c r="I31" s="166">
        <v>0</v>
      </c>
      <c r="J31" s="166">
        <v>0</v>
      </c>
      <c r="K31" s="167">
        <v>0</v>
      </c>
      <c r="L31" s="166">
        <v>0</v>
      </c>
      <c r="M31" s="166">
        <v>0</v>
      </c>
      <c r="N31" s="166">
        <v>0</v>
      </c>
      <c r="O31" s="166">
        <v>2911</v>
      </c>
      <c r="P31" s="168">
        <v>2911</v>
      </c>
      <c r="Q31" s="166">
        <v>-348</v>
      </c>
      <c r="R31" s="166">
        <v>16</v>
      </c>
      <c r="S31" s="166">
        <v>0</v>
      </c>
      <c r="T31" s="166">
        <v>0</v>
      </c>
      <c r="U31" s="165">
        <f>SUM(Q31:T31)</f>
        <v>-332</v>
      </c>
      <c r="V31" s="166">
        <v>0</v>
      </c>
      <c r="W31" s="166">
        <v>124</v>
      </c>
      <c r="X31" s="166">
        <v>172</v>
      </c>
      <c r="Y31" s="166">
        <v>1704</v>
      </c>
      <c r="Z31" s="168">
        <v>2000</v>
      </c>
      <c r="AA31" s="166">
        <v>995</v>
      </c>
      <c r="AB31" s="166">
        <v>513</v>
      </c>
      <c r="AC31" s="166">
        <v>1985</v>
      </c>
      <c r="AD31" s="166">
        <v>747</v>
      </c>
      <c r="AE31" s="168">
        <v>4240</v>
      </c>
      <c r="AF31" s="166">
        <v>1436</v>
      </c>
      <c r="AG31" s="166">
        <v>4831</v>
      </c>
      <c r="AH31" s="166">
        <v>-1029</v>
      </c>
      <c r="AI31" s="166">
        <v>513</v>
      </c>
      <c r="AJ31" s="168">
        <v>5751</v>
      </c>
      <c r="AK31" s="166">
        <v>9</v>
      </c>
      <c r="AL31" s="166">
        <v>1029</v>
      </c>
      <c r="AM31" s="166">
        <v>-53</v>
      </c>
      <c r="AN31" s="166">
        <v>633</v>
      </c>
      <c r="AO31" s="168">
        <v>1618</v>
      </c>
      <c r="AP31" s="166">
        <v>874</v>
      </c>
      <c r="AQ31" s="166">
        <v>4467</v>
      </c>
      <c r="AR31" s="166">
        <v>3482</v>
      </c>
      <c r="AS31" s="166">
        <v>1029</v>
      </c>
      <c r="AT31" s="168">
        <v>9853</v>
      </c>
      <c r="AU31" s="166">
        <v>471</v>
      </c>
    </row>
    <row r="32" spans="1:47" ht="15" customHeight="1" x14ac:dyDescent="0.25">
      <c r="A32" s="195" t="s">
        <v>200</v>
      </c>
      <c r="B32" s="166"/>
      <c r="C32" s="166"/>
      <c r="D32" s="166"/>
      <c r="E32" s="166"/>
      <c r="F32" s="167"/>
      <c r="G32" s="166">
        <v>0</v>
      </c>
      <c r="H32" s="166">
        <v>0</v>
      </c>
      <c r="I32" s="166">
        <v>0</v>
      </c>
      <c r="J32" s="166">
        <v>0</v>
      </c>
      <c r="K32" s="167">
        <v>0</v>
      </c>
      <c r="L32" s="166">
        <v>0</v>
      </c>
      <c r="M32" s="166">
        <v>690</v>
      </c>
      <c r="N32" s="166">
        <v>0</v>
      </c>
      <c r="O32" s="166">
        <v>1135</v>
      </c>
      <c r="P32" s="168">
        <v>1825</v>
      </c>
      <c r="Q32" s="166">
        <v>107</v>
      </c>
      <c r="R32" s="166">
        <v>183</v>
      </c>
      <c r="S32" s="166">
        <v>0</v>
      </c>
      <c r="T32" s="166">
        <v>0</v>
      </c>
      <c r="U32" s="165">
        <f>SUM(Q32:T32)</f>
        <v>290</v>
      </c>
      <c r="V32" s="166">
        <v>1890</v>
      </c>
      <c r="W32" s="166">
        <v>175</v>
      </c>
      <c r="X32" s="166">
        <v>131</v>
      </c>
      <c r="Y32" s="166">
        <v>6614</v>
      </c>
      <c r="Z32" s="168">
        <v>8810</v>
      </c>
      <c r="AA32" s="166">
        <v>1021</v>
      </c>
      <c r="AB32" s="166">
        <v>415</v>
      </c>
      <c r="AC32" s="166">
        <v>5357</v>
      </c>
      <c r="AD32" s="166">
        <v>2605</v>
      </c>
      <c r="AE32" s="168">
        <v>9398</v>
      </c>
      <c r="AF32" s="166">
        <v>7367</v>
      </c>
      <c r="AG32" s="166">
        <v>1551</v>
      </c>
      <c r="AH32" s="166">
        <v>-106</v>
      </c>
      <c r="AI32" s="166">
        <v>568</v>
      </c>
      <c r="AJ32" s="168">
        <v>9380</v>
      </c>
      <c r="AK32" s="166">
        <v>456</v>
      </c>
      <c r="AL32" s="166">
        <v>4076</v>
      </c>
      <c r="AM32" s="166">
        <v>-624</v>
      </c>
      <c r="AN32" s="166">
        <v>408</v>
      </c>
      <c r="AO32" s="168">
        <v>4316</v>
      </c>
      <c r="AP32" s="166">
        <v>4734</v>
      </c>
      <c r="AQ32" s="166">
        <v>12667</v>
      </c>
      <c r="AR32" s="166">
        <v>-391</v>
      </c>
      <c r="AS32" s="166">
        <v>2914</v>
      </c>
      <c r="AT32" s="168">
        <v>19923</v>
      </c>
      <c r="AU32" s="166">
        <v>494</v>
      </c>
    </row>
    <row r="33" spans="1:48" ht="15" customHeight="1" x14ac:dyDescent="0.25">
      <c r="A33" s="195" t="s">
        <v>201</v>
      </c>
      <c r="B33" s="200"/>
      <c r="C33" s="200"/>
      <c r="D33" s="200"/>
      <c r="E33" s="200"/>
      <c r="F33" s="201"/>
      <c r="G33" s="200">
        <v>0</v>
      </c>
      <c r="H33" s="200">
        <v>0</v>
      </c>
      <c r="I33" s="200">
        <v>0</v>
      </c>
      <c r="J33" s="200">
        <v>0</v>
      </c>
      <c r="K33" s="201">
        <v>0</v>
      </c>
      <c r="L33" s="200">
        <v>0</v>
      </c>
      <c r="M33" s="200">
        <v>112</v>
      </c>
      <c r="N33" s="200">
        <v>0</v>
      </c>
      <c r="O33" s="200">
        <v>11</v>
      </c>
      <c r="P33" s="202">
        <v>123</v>
      </c>
      <c r="Q33" s="200">
        <v>-11</v>
      </c>
      <c r="R33" s="200">
        <v>0</v>
      </c>
      <c r="S33" s="200">
        <v>0</v>
      </c>
      <c r="T33" s="200">
        <v>0</v>
      </c>
      <c r="U33" s="165">
        <f>SUM(Q33:T33)</f>
        <v>-11</v>
      </c>
      <c r="V33" s="200">
        <v>0</v>
      </c>
      <c r="W33" s="200">
        <v>429</v>
      </c>
      <c r="X33" s="200">
        <v>0</v>
      </c>
      <c r="Y33" s="200">
        <v>2343</v>
      </c>
      <c r="Z33" s="168">
        <v>2772</v>
      </c>
      <c r="AA33" s="200">
        <v>193</v>
      </c>
      <c r="AB33" s="200">
        <v>288</v>
      </c>
      <c r="AC33" s="200">
        <v>4839</v>
      </c>
      <c r="AD33" s="200">
        <v>1031</v>
      </c>
      <c r="AE33" s="168">
        <v>6351</v>
      </c>
      <c r="AF33" s="200">
        <v>2833</v>
      </c>
      <c r="AG33" s="200">
        <v>3614</v>
      </c>
      <c r="AH33" s="200">
        <v>-632</v>
      </c>
      <c r="AI33" s="200">
        <v>752</v>
      </c>
      <c r="AJ33" s="168">
        <v>6567</v>
      </c>
      <c r="AK33" s="200">
        <v>245</v>
      </c>
      <c r="AL33" s="200">
        <v>820</v>
      </c>
      <c r="AM33" s="200">
        <v>596</v>
      </c>
      <c r="AN33" s="200">
        <v>3082</v>
      </c>
      <c r="AO33" s="168">
        <v>4743</v>
      </c>
      <c r="AP33" s="200">
        <v>3994</v>
      </c>
      <c r="AQ33" s="200">
        <v>4429</v>
      </c>
      <c r="AR33" s="200">
        <v>4742</v>
      </c>
      <c r="AS33" s="200">
        <v>1786</v>
      </c>
      <c r="AT33" s="168">
        <v>14951</v>
      </c>
      <c r="AU33" s="200">
        <v>6978</v>
      </c>
    </row>
    <row r="34" spans="1:48" ht="15" customHeight="1" x14ac:dyDescent="0.25">
      <c r="A34" s="142" t="s">
        <v>209</v>
      </c>
      <c r="B34" s="192">
        <f t="shared" ref="B34:K34" si="48">SUM(B6,B7,B8,B12,B16,B21,B24,B29)</f>
        <v>18189</v>
      </c>
      <c r="C34" s="192">
        <f t="shared" si="48"/>
        <v>19739</v>
      </c>
      <c r="D34" s="192">
        <f t="shared" si="48"/>
        <v>28694</v>
      </c>
      <c r="E34" s="192">
        <f t="shared" si="48"/>
        <v>14539</v>
      </c>
      <c r="F34" s="193">
        <f t="shared" si="48"/>
        <v>81159</v>
      </c>
      <c r="G34" s="192">
        <f t="shared" si="48"/>
        <v>30316</v>
      </c>
      <c r="H34" s="192">
        <f t="shared" si="48"/>
        <v>25862</v>
      </c>
      <c r="I34" s="192">
        <f t="shared" si="48"/>
        <v>38808</v>
      </c>
      <c r="J34" s="192">
        <f t="shared" si="48"/>
        <v>42255</v>
      </c>
      <c r="K34" s="193">
        <f t="shared" si="48"/>
        <v>137243</v>
      </c>
      <c r="L34" s="192">
        <f>SUM(L6,L7,L8,L12,L16,L21,L24,L29)-1</f>
        <v>41936</v>
      </c>
      <c r="M34" s="192">
        <f t="shared" ref="M34:AK34" si="49">SUM(M6,M7,M8,M12,M16,M21,M24,M29)</f>
        <v>46581</v>
      </c>
      <c r="N34" s="192">
        <f t="shared" si="49"/>
        <v>56847</v>
      </c>
      <c r="O34" s="192">
        <f t="shared" si="49"/>
        <v>67560</v>
      </c>
      <c r="P34" s="194">
        <f t="shared" si="49"/>
        <v>212925</v>
      </c>
      <c r="Q34" s="192">
        <f t="shared" si="49"/>
        <v>56842</v>
      </c>
      <c r="R34" s="192">
        <f t="shared" si="49"/>
        <v>54067</v>
      </c>
      <c r="S34" s="192">
        <f t="shared" si="49"/>
        <v>51643</v>
      </c>
      <c r="T34" s="192">
        <f t="shared" si="49"/>
        <v>62628</v>
      </c>
      <c r="U34" s="194">
        <f t="shared" si="49"/>
        <v>225180</v>
      </c>
      <c r="V34" s="192">
        <f t="shared" si="49"/>
        <v>47454</v>
      </c>
      <c r="W34" s="192">
        <f t="shared" si="49"/>
        <v>43862</v>
      </c>
      <c r="X34" s="192">
        <f t="shared" si="49"/>
        <v>43662</v>
      </c>
      <c r="Y34" s="192">
        <f t="shared" si="49"/>
        <v>68025</v>
      </c>
      <c r="Z34" s="194">
        <f t="shared" si="49"/>
        <v>203003</v>
      </c>
      <c r="AA34" s="192">
        <f t="shared" si="49"/>
        <v>42762</v>
      </c>
      <c r="AB34" s="192">
        <f t="shared" si="49"/>
        <v>32761</v>
      </c>
      <c r="AC34" s="192">
        <f t="shared" si="49"/>
        <v>44178</v>
      </c>
      <c r="AD34" s="192">
        <f t="shared" si="49"/>
        <v>56605</v>
      </c>
      <c r="AE34" s="194">
        <f t="shared" si="49"/>
        <v>176306</v>
      </c>
      <c r="AF34" s="192">
        <f t="shared" si="49"/>
        <v>52479</v>
      </c>
      <c r="AG34" s="192">
        <f t="shared" si="49"/>
        <v>52240</v>
      </c>
      <c r="AH34" s="192">
        <f t="shared" si="49"/>
        <v>44200</v>
      </c>
      <c r="AI34" s="192">
        <f t="shared" si="49"/>
        <v>35929</v>
      </c>
      <c r="AJ34" s="194">
        <f>SUM(AJ6,AJ7,AJ8,AJ12,AJ16,AJ21,AJ24,AJ29)</f>
        <v>184848</v>
      </c>
      <c r="AK34" s="192">
        <f t="shared" si="49"/>
        <v>41547</v>
      </c>
      <c r="AL34" s="192">
        <f>SUM(AL6,AL7,AL8,AL12,AL16,AL21,AL24,AL27,AL29)</f>
        <v>82966</v>
      </c>
      <c r="AM34" s="192">
        <f>SUM(AM6,AM7,AM8,AM12,AM16,AM21,AM27,AM29)</f>
        <v>43655</v>
      </c>
      <c r="AN34" s="192">
        <f>SUM(AN6,AN7,AN8,AN12,AN16,AN21,AN24,AN29,AN27)</f>
        <v>88256</v>
      </c>
      <c r="AO34" s="194">
        <f>SUM(AO6,AO7,AO8,AO12,AO16,AO21,AO24,AO29,AO27)</f>
        <v>256424</v>
      </c>
      <c r="AP34" s="192">
        <f>SUM(AP6,AP7,AP8,AP12,AP16,AP21,AP24,AP29)</f>
        <v>50794</v>
      </c>
      <c r="AQ34" s="192">
        <f>SUM(AQ6,AQ7,AQ8,AQ12,AQ16,AQ21,AQ24,AQ27,AQ29)</f>
        <v>57957</v>
      </c>
      <c r="AR34" s="192">
        <f>SUM(AR6,AR7,AR8,AR12,AR16,AR21,AR27,AR29)</f>
        <v>61808</v>
      </c>
      <c r="AS34" s="192">
        <f>SUM(AS6,AS7,AS8,AS12,AS16,AS21,AS24,AS29,AS27)</f>
        <v>76594</v>
      </c>
      <c r="AT34" s="194">
        <f>SUM(AT6,AT7,AT8,AT12,AT16,AT21,AT24,AT29,AT27)</f>
        <v>247154</v>
      </c>
      <c r="AU34" s="192">
        <f>SUM(AU6,AU7,AU8,AU12,AU16,AU21,AU24,AU29)</f>
        <v>62113</v>
      </c>
    </row>
    <row r="35" spans="1:48" ht="15" customHeight="1" x14ac:dyDescent="0.25">
      <c r="A35" s="145" t="s">
        <v>210</v>
      </c>
      <c r="B35" s="172">
        <f t="shared" ref="B35:AM35" si="50">SUM(B4,B34)</f>
        <v>31806</v>
      </c>
      <c r="C35" s="172">
        <f t="shared" si="50"/>
        <v>23668</v>
      </c>
      <c r="D35" s="172">
        <f t="shared" si="50"/>
        <v>34487</v>
      </c>
      <c r="E35" s="172">
        <f t="shared" si="50"/>
        <v>53477</v>
      </c>
      <c r="F35" s="173">
        <f t="shared" si="50"/>
        <v>143435</v>
      </c>
      <c r="G35" s="172">
        <f t="shared" si="50"/>
        <v>48843</v>
      </c>
      <c r="H35" s="172">
        <f t="shared" si="50"/>
        <v>39201</v>
      </c>
      <c r="I35" s="172">
        <f t="shared" si="50"/>
        <v>53532</v>
      </c>
      <c r="J35" s="172">
        <f t="shared" si="50"/>
        <v>82995</v>
      </c>
      <c r="K35" s="173">
        <f t="shared" si="50"/>
        <v>224572</v>
      </c>
      <c r="L35" s="172">
        <f t="shared" si="50"/>
        <v>56454</v>
      </c>
      <c r="M35" s="172">
        <f t="shared" si="50"/>
        <v>54086</v>
      </c>
      <c r="N35" s="172">
        <f t="shared" si="50"/>
        <v>79116</v>
      </c>
      <c r="O35" s="172">
        <f t="shared" si="50"/>
        <v>119928</v>
      </c>
      <c r="P35" s="174">
        <f t="shared" si="50"/>
        <v>309584</v>
      </c>
      <c r="Q35" s="172">
        <f t="shared" si="50"/>
        <v>77932</v>
      </c>
      <c r="R35" s="172">
        <f t="shared" si="50"/>
        <v>68774</v>
      </c>
      <c r="S35" s="172">
        <f t="shared" si="50"/>
        <v>69591</v>
      </c>
      <c r="T35" s="172">
        <f t="shared" si="50"/>
        <v>104762</v>
      </c>
      <c r="U35" s="174">
        <f t="shared" si="50"/>
        <v>321059</v>
      </c>
      <c r="V35" s="172">
        <f t="shared" si="50"/>
        <v>68855</v>
      </c>
      <c r="W35" s="172">
        <f t="shared" si="50"/>
        <v>56399</v>
      </c>
      <c r="X35" s="172">
        <f t="shared" si="50"/>
        <v>64219</v>
      </c>
      <c r="Y35" s="172">
        <f t="shared" si="50"/>
        <v>109499</v>
      </c>
      <c r="Z35" s="174">
        <f t="shared" si="50"/>
        <v>298972</v>
      </c>
      <c r="AA35" s="172">
        <f t="shared" si="50"/>
        <v>59190</v>
      </c>
      <c r="AB35" s="172">
        <f t="shared" si="50"/>
        <v>38911</v>
      </c>
      <c r="AC35" s="172">
        <f t="shared" si="50"/>
        <v>49471</v>
      </c>
      <c r="AD35" s="172">
        <f t="shared" si="50"/>
        <v>103423</v>
      </c>
      <c r="AE35" s="174">
        <f t="shared" si="50"/>
        <v>250995</v>
      </c>
      <c r="AF35" s="172">
        <f t="shared" si="50"/>
        <v>75929</v>
      </c>
      <c r="AG35" s="172">
        <f t="shared" si="50"/>
        <v>67269</v>
      </c>
      <c r="AH35" s="172">
        <f t="shared" si="50"/>
        <v>68430</v>
      </c>
      <c r="AI35" s="172">
        <f t="shared" si="50"/>
        <v>110867</v>
      </c>
      <c r="AJ35" s="174">
        <f t="shared" si="50"/>
        <v>322495</v>
      </c>
      <c r="AK35" s="172">
        <f t="shared" si="50"/>
        <v>62825</v>
      </c>
      <c r="AL35" s="172">
        <f t="shared" si="50"/>
        <v>49993</v>
      </c>
      <c r="AM35" s="172">
        <f t="shared" si="50"/>
        <v>50176</v>
      </c>
      <c r="AN35" s="172">
        <f t="shared" ref="AN35:AO35" si="51">SUM(AN4,AN34)</f>
        <v>104305</v>
      </c>
      <c r="AO35" s="174">
        <f t="shared" si="51"/>
        <v>267299</v>
      </c>
      <c r="AP35" s="172">
        <f>SUM(AP4,AP34)</f>
        <v>38723</v>
      </c>
      <c r="AQ35" s="172">
        <f>SUM(AQ4,AQ34)</f>
        <v>55986</v>
      </c>
      <c r="AR35" s="172">
        <f>SUM(AR4,AR34)</f>
        <v>68443</v>
      </c>
      <c r="AS35" s="172">
        <f t="shared" ref="AS35:AT35" si="52">SUM(AS4,AS34)</f>
        <v>138645</v>
      </c>
      <c r="AT35" s="174">
        <f t="shared" si="52"/>
        <v>301798</v>
      </c>
      <c r="AU35" s="172">
        <f>SUM(AU4,AU34)</f>
        <v>70679</v>
      </c>
    </row>
    <row r="36" spans="1:48" ht="15" customHeight="1" x14ac:dyDescent="0.25">
      <c r="F36" s="175"/>
      <c r="K36" s="175"/>
      <c r="P36" s="176"/>
      <c r="U36" s="176"/>
      <c r="Z36" s="176"/>
      <c r="AE36" s="176"/>
      <c r="AJ36" s="176"/>
      <c r="AO36" s="176"/>
      <c r="AV36" s="293"/>
    </row>
    <row r="37" spans="1:48" ht="199.5" customHeight="1" x14ac:dyDescent="0.25">
      <c r="A37" s="318" t="s">
        <v>211</v>
      </c>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141"/>
      <c r="AI37" s="141"/>
      <c r="AJ37" s="141"/>
      <c r="AK37" s="141"/>
      <c r="AL37" s="141"/>
      <c r="AM37" s="141"/>
      <c r="AN37" s="141"/>
      <c r="AO37" s="141"/>
      <c r="AP37" s="141"/>
      <c r="AQ37" s="141"/>
      <c r="AR37" s="141"/>
      <c r="AS37" s="141"/>
      <c r="AT37" s="141"/>
      <c r="AU37" s="141"/>
    </row>
    <row r="38" spans="1:48" ht="15" customHeight="1" x14ac:dyDescent="0.25"/>
    <row r="39" spans="1:48" ht="15" customHeight="1" x14ac:dyDescent="0.25"/>
    <row r="40" spans="1:48" ht="15" customHeight="1" x14ac:dyDescent="0.25">
      <c r="K40" s="213"/>
      <c r="P40" s="213"/>
      <c r="U40" s="213"/>
      <c r="Z40" s="213"/>
      <c r="AE40" s="213"/>
      <c r="AJ40" s="213"/>
      <c r="AO40" s="213"/>
      <c r="AT40" s="213"/>
    </row>
    <row r="41" spans="1:48" ht="15" customHeight="1" x14ac:dyDescent="0.25"/>
    <row r="42" spans="1:48" ht="15" customHeight="1" x14ac:dyDescent="0.25"/>
    <row r="43" spans="1:48" ht="15" customHeight="1" x14ac:dyDescent="0.25"/>
    <row r="44" spans="1:48" ht="15" customHeight="1" x14ac:dyDescent="0.25"/>
    <row r="45" spans="1:48" ht="15" customHeight="1" x14ac:dyDescent="0.25"/>
    <row r="46" spans="1:48" ht="15" customHeight="1" x14ac:dyDescent="0.25"/>
    <row r="47" spans="1:48" ht="15" customHeight="1" x14ac:dyDescent="0.25"/>
    <row r="48" spans="1: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sheetData>
  <mergeCells count="1">
    <mergeCell ref="A37:AG37"/>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W83"/>
  <sheetViews>
    <sheetView showGridLines="0" zoomScaleNormal="100" workbookViewId="0">
      <pane xSplit="11" topLeftCell="AM1" activePane="topRight" state="frozen"/>
      <selection pane="topRight" activeCell="AV1" sqref="AV1:AV1048576"/>
    </sheetView>
  </sheetViews>
  <sheetFormatPr defaultColWidth="12.6640625" defaultRowHeight="13.2" outlineLevelRow="1" outlineLevelCol="1" x14ac:dyDescent="0.25"/>
  <cols>
    <col min="1" max="1" width="59.33203125" style="2" customWidth="1"/>
    <col min="2" max="11" width="12.6640625" style="2" hidden="1" customWidth="1" outlineLevel="1"/>
    <col min="12" max="12" width="12.6640625" style="2" hidden="1" customWidth="1" outlineLevel="1" collapsed="1"/>
    <col min="13" max="13" width="12.6640625" style="2" hidden="1" customWidth="1" outlineLevel="1"/>
    <col min="14" max="14" width="12.6640625" style="2" hidden="1" customWidth="1" outlineLevel="1" collapsed="1"/>
    <col min="15" max="18" width="12.6640625" style="2" hidden="1" customWidth="1" outlineLevel="1"/>
    <col min="19" max="19" width="0" style="2" hidden="1" customWidth="1" outlineLevel="1"/>
    <col min="20" max="20" width="0" style="2" hidden="1" customWidth="1" collapsed="1"/>
    <col min="21" max="36" width="0" style="2" hidden="1" customWidth="1"/>
    <col min="37" max="42" width="12.6640625" style="2"/>
    <col min="43" max="43" width="12.6640625" style="151"/>
    <col min="44" max="47" width="12.6640625" style="2"/>
    <col min="48" max="48" width="12.33203125" style="151" bestFit="1" customWidth="1"/>
    <col min="49" max="49" width="12.6640625" style="151"/>
    <col min="50" max="16384" width="12.6640625" style="2"/>
  </cols>
  <sheetData>
    <row r="1" spans="1:48" x14ac:dyDescent="0.25">
      <c r="A1" s="10" t="s">
        <v>212</v>
      </c>
    </row>
    <row r="2" spans="1:48" x14ac:dyDescent="0.25">
      <c r="A2" s="5" t="s">
        <v>213</v>
      </c>
    </row>
    <row r="3" spans="1:48" ht="15" customHeight="1" x14ac:dyDescent="0.25">
      <c r="A3" s="17"/>
      <c r="B3" s="14" t="s">
        <v>60</v>
      </c>
      <c r="C3" s="14" t="s">
        <v>61</v>
      </c>
      <c r="D3" s="14" t="s">
        <v>62</v>
      </c>
      <c r="E3" s="14" t="s">
        <v>63</v>
      </c>
      <c r="F3" s="15" t="s">
        <v>64</v>
      </c>
      <c r="G3" s="14" t="s">
        <v>65</v>
      </c>
      <c r="H3" s="14" t="s">
        <v>66</v>
      </c>
      <c r="I3" s="14" t="s">
        <v>67</v>
      </c>
      <c r="J3" s="14" t="s">
        <v>68</v>
      </c>
      <c r="K3" s="15" t="s">
        <v>69</v>
      </c>
      <c r="L3" s="14" t="s">
        <v>70</v>
      </c>
      <c r="M3" s="14" t="s">
        <v>71</v>
      </c>
      <c r="N3" s="14" t="s">
        <v>72</v>
      </c>
      <c r="O3" s="14" t="s">
        <v>73</v>
      </c>
      <c r="P3" s="110" t="s">
        <v>74</v>
      </c>
      <c r="Q3" s="14" t="s">
        <v>75</v>
      </c>
      <c r="R3" s="14" t="s">
        <v>76</v>
      </c>
      <c r="S3" s="14" t="s">
        <v>77</v>
      </c>
      <c r="T3" s="14" t="s">
        <v>78</v>
      </c>
      <c r="U3" s="110" t="s">
        <v>79</v>
      </c>
      <c r="V3" s="14" t="s">
        <v>80</v>
      </c>
      <c r="W3" s="14" t="s">
        <v>81</v>
      </c>
      <c r="X3" s="14" t="s">
        <v>82</v>
      </c>
      <c r="Y3" s="14" t="s">
        <v>83</v>
      </c>
      <c r="Z3" s="110" t="s">
        <v>84</v>
      </c>
      <c r="AA3" s="14" t="s">
        <v>85</v>
      </c>
      <c r="AB3" s="14" t="s">
        <v>86</v>
      </c>
      <c r="AC3" s="14" t="s">
        <v>87</v>
      </c>
      <c r="AD3" s="14" t="s">
        <v>88</v>
      </c>
      <c r="AE3" s="110" t="s">
        <v>89</v>
      </c>
      <c r="AF3" s="14" t="s">
        <v>90</v>
      </c>
      <c r="AG3" s="14" t="s">
        <v>91</v>
      </c>
      <c r="AH3" s="14" t="s">
        <v>92</v>
      </c>
      <c r="AI3" s="14" t="s">
        <v>93</v>
      </c>
      <c r="AJ3" s="110" t="s">
        <v>94</v>
      </c>
      <c r="AK3" s="14" t="s">
        <v>95</v>
      </c>
      <c r="AL3" s="14" t="s">
        <v>96</v>
      </c>
      <c r="AM3" s="14" t="s">
        <v>97</v>
      </c>
      <c r="AN3" s="14" t="s">
        <v>98</v>
      </c>
      <c r="AO3" s="110" t="s">
        <v>99</v>
      </c>
      <c r="AP3" s="14" t="s">
        <v>100</v>
      </c>
      <c r="AQ3" s="269" t="s">
        <v>101</v>
      </c>
      <c r="AR3" s="14" t="s">
        <v>102</v>
      </c>
      <c r="AS3" s="14" t="s">
        <v>103</v>
      </c>
      <c r="AT3" s="110" t="s">
        <v>104</v>
      </c>
      <c r="AU3" s="14" t="s">
        <v>105</v>
      </c>
      <c r="AV3" s="152"/>
    </row>
    <row r="4" spans="1:48" ht="15" customHeight="1" x14ac:dyDescent="0.25">
      <c r="A4" s="1" t="s">
        <v>214</v>
      </c>
      <c r="B4" s="66">
        <f>'P&amp;L'!B14</f>
        <v>-17846</v>
      </c>
      <c r="C4" s="66">
        <f>'P&amp;L'!C14</f>
        <v>-19853</v>
      </c>
      <c r="D4" s="66">
        <f>'P&amp;L'!D14</f>
        <v>-22442</v>
      </c>
      <c r="E4" s="66">
        <f>'P&amp;L'!E14</f>
        <v>-26665</v>
      </c>
      <c r="F4" s="71">
        <f>'P&amp;L'!F14</f>
        <v>-86807</v>
      </c>
      <c r="G4" s="66">
        <f>'P&amp;L'!G14</f>
        <v>-27162</v>
      </c>
      <c r="H4" s="66">
        <f>'P&amp;L'!H14</f>
        <v>-30235</v>
      </c>
      <c r="I4" s="66">
        <f>'P&amp;L'!I14</f>
        <v>-30701</v>
      </c>
      <c r="J4" s="66">
        <f>'P&amp;L'!J14</f>
        <v>-35552</v>
      </c>
      <c r="K4" s="71">
        <f>'P&amp;L'!K14</f>
        <v>-123649</v>
      </c>
      <c r="L4" s="66">
        <f>'P&amp;L'!L14</f>
        <v>-39521</v>
      </c>
      <c r="M4" s="66">
        <f>'P&amp;L'!M14</f>
        <v>-43611</v>
      </c>
      <c r="N4" s="66">
        <f>'P&amp;L'!N14</f>
        <v>-43860</v>
      </c>
      <c r="O4" s="66">
        <f>'P&amp;L'!O14</f>
        <v>-46933</v>
      </c>
      <c r="P4" s="132">
        <f>'P&amp;L'!P14</f>
        <v>-173925</v>
      </c>
      <c r="Q4" s="66">
        <f>'P&amp;L'!Q14</f>
        <v>-45318</v>
      </c>
      <c r="R4" s="66">
        <f>'P&amp;L'!R14</f>
        <v>-47544</v>
      </c>
      <c r="S4" s="66">
        <f>'P&amp;L'!S14</f>
        <v>-41796</v>
      </c>
      <c r="T4" s="66">
        <f>'P&amp;L'!T14</f>
        <v>-44605</v>
      </c>
      <c r="U4" s="132">
        <f>'P&amp;L'!U14</f>
        <v>-179263</v>
      </c>
      <c r="V4" s="66">
        <f>'P&amp;L'!V14</f>
        <v>-46577</v>
      </c>
      <c r="W4" s="66">
        <f>'P&amp;L'!W14</f>
        <v>-44015</v>
      </c>
      <c r="X4" s="66">
        <f>'P&amp;L'!X14</f>
        <v>-41414</v>
      </c>
      <c r="Y4" s="66">
        <f>'P&amp;L'!Y14</f>
        <v>-40585</v>
      </c>
      <c r="Z4" s="132">
        <f>'P&amp;L'!Z14</f>
        <v>-172591</v>
      </c>
      <c r="AA4" s="66">
        <f>'P&amp;L'!AA14</f>
        <v>-37515</v>
      </c>
      <c r="AB4" s="66">
        <f>'P&amp;L'!AB14</f>
        <v>-31247</v>
      </c>
      <c r="AC4" s="66">
        <f>'P&amp;L'!AC14</f>
        <v>-30954</v>
      </c>
      <c r="AD4" s="66">
        <f>'P&amp;L'!AD14</f>
        <v>-32797</v>
      </c>
      <c r="AE4" s="132">
        <f>'P&amp;L'!AE14</f>
        <v>-132513</v>
      </c>
      <c r="AF4" s="66">
        <f>'P&amp;L'!AF14</f>
        <v>-31697</v>
      </c>
      <c r="AG4" s="66">
        <f>'P&amp;L'!AG14</f>
        <v>-41915</v>
      </c>
      <c r="AH4" s="66">
        <f>'P&amp;L'!AH14</f>
        <v>-33345</v>
      </c>
      <c r="AI4" s="66">
        <f>'P&amp;L'!AI14</f>
        <v>-44860</v>
      </c>
      <c r="AJ4" s="132">
        <f>'P&amp;L'!AJ14</f>
        <v>-151817</v>
      </c>
      <c r="AK4" s="66">
        <f>'P&amp;L'!AK14</f>
        <v>-34027</v>
      </c>
      <c r="AL4" s="66">
        <f>'P&amp;L'!AL14</f>
        <v>-41496</v>
      </c>
      <c r="AM4" s="66">
        <f>'P&amp;L'!AM14</f>
        <v>-42725</v>
      </c>
      <c r="AN4" s="66">
        <f>'P&amp;L'!AN14</f>
        <v>-69348</v>
      </c>
      <c r="AO4" s="132">
        <f>'P&amp;L'!AO14</f>
        <v>-187596</v>
      </c>
      <c r="AP4" s="66">
        <f>'P&amp;L'!AP14</f>
        <v>-63590</v>
      </c>
      <c r="AQ4" s="283">
        <f>'P&amp;L'!AQ14</f>
        <v>-67775</v>
      </c>
      <c r="AR4" s="66">
        <f>'P&amp;L'!AR14</f>
        <v>-62522</v>
      </c>
      <c r="AS4" s="66">
        <f>'P&amp;L'!AS14</f>
        <v>-48402</v>
      </c>
      <c r="AT4" s="132">
        <f>'P&amp;L'!AT14</f>
        <v>-242289</v>
      </c>
      <c r="AU4" s="66">
        <f>'P&amp;L'!AU14</f>
        <v>-66858</v>
      </c>
      <c r="AV4" s="283"/>
    </row>
    <row r="5" spans="1:48" ht="15" customHeight="1" x14ac:dyDescent="0.25">
      <c r="A5" s="16" t="s">
        <v>198</v>
      </c>
      <c r="B5" s="37">
        <f>'Reconciliation Adj EBITDA'!B9</f>
        <v>1478</v>
      </c>
      <c r="C5" s="37">
        <f>'Reconciliation Adj EBITDA'!C9</f>
        <v>1162</v>
      </c>
      <c r="D5" s="37">
        <f>'Reconciliation Adj EBITDA'!D9</f>
        <v>1714</v>
      </c>
      <c r="E5" s="37">
        <f>'Reconciliation Adj EBITDA'!E9</f>
        <v>2167</v>
      </c>
      <c r="F5" s="48">
        <f>'Reconciliation Adj EBITDA'!F9</f>
        <v>6520</v>
      </c>
      <c r="G5" s="37">
        <f>'Reconciliation Adj EBITDA'!G9</f>
        <v>2402</v>
      </c>
      <c r="H5" s="37">
        <f>'Reconciliation Adj EBITDA'!H9</f>
        <v>2179</v>
      </c>
      <c r="I5" s="37">
        <f>'Reconciliation Adj EBITDA'!I9</f>
        <v>4667</v>
      </c>
      <c r="J5" s="37">
        <f>'Reconciliation Adj EBITDA'!J9</f>
        <v>2860</v>
      </c>
      <c r="K5" s="48">
        <f>'Reconciliation Adj EBITDA'!K9</f>
        <v>12108</v>
      </c>
      <c r="L5" s="37">
        <f>'Reconciliation Adj EBITDA'!L9</f>
        <v>3916</v>
      </c>
      <c r="M5" s="37">
        <f>'Reconciliation Adj EBITDA'!M9</f>
        <v>4461</v>
      </c>
      <c r="N5" s="37">
        <f>'Reconciliation Adj EBITDA'!N9</f>
        <v>6361</v>
      </c>
      <c r="O5" s="37">
        <f>'Reconciliation Adj EBITDA'!O9</f>
        <v>6355</v>
      </c>
      <c r="P5" s="100">
        <f>'Reconciliation Adj EBITDA'!P9</f>
        <v>21093</v>
      </c>
      <c r="Q5" s="37">
        <f>'Reconciliation Adj EBITDA'!Q9</f>
        <v>4555</v>
      </c>
      <c r="R5" s="37">
        <f>'Reconciliation Adj EBITDA'!R9</f>
        <v>6771</v>
      </c>
      <c r="S5" s="37">
        <f>'Reconciliation Adj EBITDA'!S9</f>
        <v>4901</v>
      </c>
      <c r="T5" s="37">
        <f>'Reconciliation Adj EBITDA'!T9</f>
        <v>5005</v>
      </c>
      <c r="U5" s="100">
        <f>'Reconciliation Adj EBITDA'!U9</f>
        <v>21232</v>
      </c>
      <c r="V5" s="37">
        <f>'Reconciliation Adj EBITDA'!V9</f>
        <v>4025</v>
      </c>
      <c r="W5" s="37">
        <f>'Reconciliation Adj EBITDA'!W9</f>
        <v>4203</v>
      </c>
      <c r="X5" s="37">
        <f>'Reconciliation Adj EBITDA'!X9</f>
        <v>3230</v>
      </c>
      <c r="Y5" s="37">
        <f>'Reconciliation Adj EBITDA'!Y9</f>
        <v>3578</v>
      </c>
      <c r="Z5" s="100">
        <f>'Reconciliation Adj EBITDA'!Z9</f>
        <v>15036</v>
      </c>
      <c r="AA5" s="37">
        <f>'Reconciliation Adj EBITDA'!AA9</f>
        <v>2370</v>
      </c>
      <c r="AB5" s="37">
        <f>'Reconciliation Adj EBITDA'!AB9</f>
        <v>2068</v>
      </c>
      <c r="AC5" s="37">
        <f>'Reconciliation Adj EBITDA'!AC9</f>
        <v>3333</v>
      </c>
      <c r="AD5" s="37">
        <f>'Reconciliation Adj EBITDA'!AD9</f>
        <v>2482</v>
      </c>
      <c r="AE5" s="100">
        <f>'Reconciliation Adj EBITDA'!AE9</f>
        <v>10253</v>
      </c>
      <c r="AF5" s="37">
        <f>'Reconciliation Adj EBITDA'!AF9</f>
        <v>2496</v>
      </c>
      <c r="AG5" s="37">
        <f>'Reconciliation Adj EBITDA'!AG9</f>
        <v>4218</v>
      </c>
      <c r="AH5" s="37">
        <f>'Reconciliation Adj EBITDA'!AH9</f>
        <v>4858</v>
      </c>
      <c r="AI5" s="37">
        <f>'Reconciliation Adj EBITDA'!AI9</f>
        <v>4762</v>
      </c>
      <c r="AJ5" s="100">
        <f>'Reconciliation Adj EBITDA'!AJ9</f>
        <v>16334</v>
      </c>
      <c r="AK5" s="37">
        <f>'Reconciliation Adj EBITDA'!AK9</f>
        <v>3967</v>
      </c>
      <c r="AL5" s="37">
        <f>'Reconciliation Adj EBITDA'!AL9</f>
        <v>5578</v>
      </c>
      <c r="AM5" s="37">
        <f>'Reconciliation Adj EBITDA'!AM9</f>
        <v>11621</v>
      </c>
      <c r="AN5" s="37">
        <f>'Reconciliation Adj EBITDA'!AN9</f>
        <v>15348</v>
      </c>
      <c r="AO5" s="100">
        <f>'Reconciliation Adj EBITDA'!AO9</f>
        <v>36514</v>
      </c>
      <c r="AP5" s="37">
        <f>'Reconciliation Adj EBITDA'!AP9</f>
        <v>16336</v>
      </c>
      <c r="AQ5" s="259">
        <f>'Reconciliation Adj EBITDA'!AQ9</f>
        <v>16339</v>
      </c>
      <c r="AR5" s="37">
        <f>'Reconciliation Adj EBITDA'!AR9</f>
        <v>11938</v>
      </c>
      <c r="AS5" s="37">
        <f>'Reconciliation Adj EBITDA'!AS9</f>
        <v>10465</v>
      </c>
      <c r="AT5" s="100">
        <f>'Reconciliation Adj EBITDA'!AT9</f>
        <v>55078</v>
      </c>
      <c r="AU5" s="37">
        <f>'Reconciliation Adj EBITDA'!AU9</f>
        <v>14594</v>
      </c>
      <c r="AV5" s="259"/>
    </row>
    <row r="6" spans="1:48" ht="15" customHeight="1" x14ac:dyDescent="0.25">
      <c r="A6" s="16" t="s">
        <v>215</v>
      </c>
      <c r="B6" s="37">
        <f>'Reconciliation Adj EBITDA'!B18</f>
        <v>1144</v>
      </c>
      <c r="C6" s="37">
        <f>'Reconciliation Adj EBITDA'!C18</f>
        <v>1977</v>
      </c>
      <c r="D6" s="37">
        <f>'Reconciliation Adj EBITDA'!D18</f>
        <v>1690</v>
      </c>
      <c r="E6" s="37">
        <f>'Reconciliation Adj EBITDA'!E18</f>
        <v>3183</v>
      </c>
      <c r="F6" s="48">
        <f>'Reconciliation Adj EBITDA'!F18</f>
        <v>7995</v>
      </c>
      <c r="G6" s="37">
        <f>'Reconciliation Adj EBITDA'!G18</f>
        <v>2007</v>
      </c>
      <c r="H6" s="37">
        <f>'Reconciliation Adj EBITDA'!H18</f>
        <v>1457</v>
      </c>
      <c r="I6" s="37">
        <f>'Reconciliation Adj EBITDA'!I18</f>
        <v>1640</v>
      </c>
      <c r="J6" s="37">
        <f>'Reconciliation Adj EBITDA'!J18</f>
        <v>2106</v>
      </c>
      <c r="K6" s="48">
        <f>'Reconciliation Adj EBITDA'!K18</f>
        <v>7211</v>
      </c>
      <c r="L6" s="37">
        <f>'Reconciliation Adj EBITDA'!L18</f>
        <v>2944</v>
      </c>
      <c r="M6" s="37">
        <f>'Reconciliation Adj EBITDA'!M18</f>
        <v>3092</v>
      </c>
      <c r="N6" s="37">
        <f>'Reconciliation Adj EBITDA'!N18</f>
        <v>2822</v>
      </c>
      <c r="O6" s="37">
        <f>'Reconciliation Adj EBITDA'!O18</f>
        <v>2369</v>
      </c>
      <c r="P6" s="100">
        <f>'Reconciliation Adj EBITDA'!P18</f>
        <v>11226</v>
      </c>
      <c r="Q6" s="37">
        <f>'Reconciliation Adj EBITDA'!Q18</f>
        <v>2221</v>
      </c>
      <c r="R6" s="37">
        <f>'Reconciliation Adj EBITDA'!R18</f>
        <v>2245</v>
      </c>
      <c r="S6" s="37">
        <f>'Reconciliation Adj EBITDA'!S18</f>
        <v>2724</v>
      </c>
      <c r="T6" s="37">
        <f>'Reconciliation Adj EBITDA'!T18</f>
        <v>3412</v>
      </c>
      <c r="U6" s="100">
        <f>'Reconciliation Adj EBITDA'!U18</f>
        <v>10602</v>
      </c>
      <c r="V6" s="37">
        <f>'Reconciliation Adj EBITDA'!V18</f>
        <v>3477</v>
      </c>
      <c r="W6" s="37">
        <f>'Reconciliation Adj EBITDA'!W18</f>
        <v>3534</v>
      </c>
      <c r="X6" s="37">
        <f>'Reconciliation Adj EBITDA'!X18</f>
        <v>4249</v>
      </c>
      <c r="Y6" s="37">
        <f>'Reconciliation Adj EBITDA'!Y18</f>
        <v>5248</v>
      </c>
      <c r="Z6" s="100">
        <f>'Reconciliation Adj EBITDA'!Z18</f>
        <v>16508</v>
      </c>
      <c r="AA6" s="37">
        <f>'Reconciliation Adj EBITDA'!AA18</f>
        <v>5650</v>
      </c>
      <c r="AB6" s="37">
        <f>'Reconciliation Adj EBITDA'!AB18</f>
        <v>1658</v>
      </c>
      <c r="AC6" s="37">
        <f>'Reconciliation Adj EBITDA'!AC18</f>
        <v>1721</v>
      </c>
      <c r="AD6" s="37">
        <f>'Reconciliation Adj EBITDA'!AD18</f>
        <v>1712</v>
      </c>
      <c r="AE6" s="100">
        <f>'Reconciliation Adj EBITDA'!AE18</f>
        <v>10741</v>
      </c>
      <c r="AF6" s="37">
        <f>'Reconciliation Adj EBITDA'!AF18</f>
        <v>1753</v>
      </c>
      <c r="AG6" s="37">
        <f>'Reconciliation Adj EBITDA'!AG18</f>
        <v>2207</v>
      </c>
      <c r="AH6" s="37">
        <f>'Reconciliation Adj EBITDA'!AH18</f>
        <v>2557</v>
      </c>
      <c r="AI6" s="37">
        <f>'Reconciliation Adj EBITDA'!AI18</f>
        <v>2967</v>
      </c>
      <c r="AJ6" s="100">
        <f>'Reconciliation Adj EBITDA'!AJ18</f>
        <v>9484</v>
      </c>
      <c r="AK6" s="37">
        <f>'Reconciliation Adj EBITDA'!AK18</f>
        <v>3293</v>
      </c>
      <c r="AL6" s="37">
        <f>'Reconciliation Adj EBITDA'!AL18</f>
        <v>3181</v>
      </c>
      <c r="AM6" s="37">
        <f>'Reconciliation Adj EBITDA'!AM18</f>
        <v>3208</v>
      </c>
      <c r="AN6" s="37">
        <f>'Reconciliation Adj EBITDA'!AN18</f>
        <v>12792</v>
      </c>
      <c r="AO6" s="100">
        <f>'Reconciliation Adj EBITDA'!AO18</f>
        <v>22474</v>
      </c>
      <c r="AP6" s="37">
        <f>'Reconciliation Adj EBITDA'!AP18</f>
        <v>10326</v>
      </c>
      <c r="AQ6" s="259">
        <f>'Reconciliation Adj EBITDA'!AQ18</f>
        <v>8518</v>
      </c>
      <c r="AR6" s="37">
        <f>'Reconciliation Adj EBITDA'!AR18</f>
        <v>9383</v>
      </c>
      <c r="AS6" s="37">
        <f>'Reconciliation Adj EBITDA'!AS18</f>
        <v>10258</v>
      </c>
      <c r="AT6" s="100">
        <f>'Reconciliation Adj EBITDA'!AT18</f>
        <v>38485</v>
      </c>
      <c r="AU6" s="37">
        <f>'Reconciliation Adj EBITDA'!AU18</f>
        <v>12328</v>
      </c>
      <c r="AV6" s="259"/>
    </row>
    <row r="7" spans="1:48" ht="15" customHeight="1" x14ac:dyDescent="0.25">
      <c r="A7" s="16" t="s">
        <v>202</v>
      </c>
      <c r="B7" s="37">
        <f>'Reconciliation Adj EBITDA'!B13</f>
        <v>42</v>
      </c>
      <c r="C7" s="37">
        <f>'Reconciliation Adj EBITDA'!C13</f>
        <v>40</v>
      </c>
      <c r="D7" s="37">
        <f>'Reconciliation Adj EBITDA'!D13</f>
        <v>41</v>
      </c>
      <c r="E7" s="37">
        <f>'Reconciliation Adj EBITDA'!E13</f>
        <v>40</v>
      </c>
      <c r="F7" s="48">
        <f>'Reconciliation Adj EBITDA'!F13</f>
        <v>163</v>
      </c>
      <c r="G7" s="37">
        <f>'Reconciliation Adj EBITDA'!G13</f>
        <v>52</v>
      </c>
      <c r="H7" s="37">
        <f>'Reconciliation Adj EBITDA'!H13</f>
        <v>53</v>
      </c>
      <c r="I7" s="37">
        <f>'Reconciliation Adj EBITDA'!I13</f>
        <v>55</v>
      </c>
      <c r="J7" s="37">
        <f>'Reconciliation Adj EBITDA'!J13</f>
        <v>52</v>
      </c>
      <c r="K7" s="48">
        <f>'Reconciliation Adj EBITDA'!K13</f>
        <v>211</v>
      </c>
      <c r="L7" s="37">
        <f>'Reconciliation Adj EBITDA'!L13</f>
        <v>146</v>
      </c>
      <c r="M7" s="37">
        <f>'Reconciliation Adj EBITDA'!M13</f>
        <v>151</v>
      </c>
      <c r="N7" s="37">
        <f>'Reconciliation Adj EBITDA'!N13</f>
        <v>161</v>
      </c>
      <c r="O7" s="37">
        <f>'Reconciliation Adj EBITDA'!O13</f>
        <v>162</v>
      </c>
      <c r="P7" s="100">
        <f>'Reconciliation Adj EBITDA'!P13</f>
        <v>621</v>
      </c>
      <c r="Q7" s="37">
        <f>'Reconciliation Adj EBITDA'!Q13</f>
        <v>220</v>
      </c>
      <c r="R7" s="37">
        <f>'Reconciliation Adj EBITDA'!R13</f>
        <v>212</v>
      </c>
      <c r="S7" s="37">
        <f>'Reconciliation Adj EBITDA'!S13</f>
        <v>208</v>
      </c>
      <c r="T7" s="37">
        <f>'Reconciliation Adj EBITDA'!T13</f>
        <v>204</v>
      </c>
      <c r="U7" s="100">
        <f>'Reconciliation Adj EBITDA'!U13</f>
        <v>844</v>
      </c>
      <c r="V7" s="37">
        <f>'Reconciliation Adj EBITDA'!V13</f>
        <v>193</v>
      </c>
      <c r="W7" s="37">
        <f>'Reconciliation Adj EBITDA'!W13</f>
        <v>191</v>
      </c>
      <c r="X7" s="37">
        <f>'Reconciliation Adj EBITDA'!X13</f>
        <v>188</v>
      </c>
      <c r="Y7" s="37">
        <f>'Reconciliation Adj EBITDA'!Y13</f>
        <v>188</v>
      </c>
      <c r="Z7" s="100">
        <f>'Reconciliation Adj EBITDA'!Z13</f>
        <v>760</v>
      </c>
      <c r="AA7" s="37">
        <f>'Reconciliation Adj EBITDA'!AA13</f>
        <v>269</v>
      </c>
      <c r="AB7" s="37">
        <f>'Reconciliation Adj EBITDA'!AB13</f>
        <v>269</v>
      </c>
      <c r="AC7" s="37">
        <f>'Reconciliation Adj EBITDA'!AC13</f>
        <v>286</v>
      </c>
      <c r="AD7" s="37">
        <f>'Reconciliation Adj EBITDA'!AD13</f>
        <v>290</v>
      </c>
      <c r="AE7" s="100">
        <f>'Reconciliation Adj EBITDA'!AE13</f>
        <v>1114</v>
      </c>
      <c r="AF7" s="37">
        <f>'Reconciliation Adj EBITDA'!AF13</f>
        <v>175</v>
      </c>
      <c r="AG7" s="37">
        <f>'Reconciliation Adj EBITDA'!AG13</f>
        <v>175</v>
      </c>
      <c r="AH7" s="37">
        <f>'Reconciliation Adj EBITDA'!AH13</f>
        <v>170</v>
      </c>
      <c r="AI7" s="37">
        <f>'Reconciliation Adj EBITDA'!AI13</f>
        <v>166</v>
      </c>
      <c r="AJ7" s="100">
        <f>'Reconciliation Adj EBITDA'!AJ13</f>
        <v>686</v>
      </c>
      <c r="AK7" s="37">
        <f>'Reconciliation Adj EBITDA'!AK13</f>
        <v>142</v>
      </c>
      <c r="AL7" s="37">
        <f>'Reconciliation Adj EBITDA'!AL13</f>
        <v>136</v>
      </c>
      <c r="AM7" s="37">
        <f>'Reconciliation Adj EBITDA'!AM13</f>
        <v>130</v>
      </c>
      <c r="AN7" s="37">
        <f>'Reconciliation Adj EBITDA'!AN13</f>
        <v>483</v>
      </c>
      <c r="AO7" s="100">
        <f>'Reconciliation Adj EBITDA'!AO13</f>
        <v>891</v>
      </c>
      <c r="AP7" s="37">
        <f>'Reconciliation Adj EBITDA'!AP13</f>
        <v>92</v>
      </c>
      <c r="AQ7" s="259">
        <f>'Reconciliation Adj EBITDA'!AQ13</f>
        <v>94</v>
      </c>
      <c r="AR7" s="37">
        <f>'Reconciliation Adj EBITDA'!AR13</f>
        <v>95</v>
      </c>
      <c r="AS7" s="37">
        <f>'Reconciliation Adj EBITDA'!AS13</f>
        <v>-18</v>
      </c>
      <c r="AT7" s="100">
        <f>'Reconciliation Adj EBITDA'!AT13</f>
        <v>263</v>
      </c>
      <c r="AU7" s="37">
        <f>'Reconciliation Adj EBITDA'!AU13</f>
        <v>91</v>
      </c>
      <c r="AV7" s="259"/>
    </row>
    <row r="8" spans="1:48" ht="15" customHeight="1" x14ac:dyDescent="0.25">
      <c r="A8" s="16" t="s">
        <v>208</v>
      </c>
      <c r="B8" s="37">
        <f>'Reconciliation Adj EBITDA'!B31</f>
        <v>0</v>
      </c>
      <c r="C8" s="37">
        <f>'Reconciliation Adj EBITDA'!C31</f>
        <v>0</v>
      </c>
      <c r="D8" s="37">
        <f>'Reconciliation Adj EBITDA'!D31</f>
        <v>0</v>
      </c>
      <c r="E8" s="37">
        <f>'Reconciliation Adj EBITDA'!E31</f>
        <v>0</v>
      </c>
      <c r="F8" s="48">
        <f>'Reconciliation Adj EBITDA'!F31</f>
        <v>0</v>
      </c>
      <c r="G8" s="37">
        <f>'Reconciliation Adj EBITDA'!G31</f>
        <v>0</v>
      </c>
      <c r="H8" s="37">
        <f>'Reconciliation Adj EBITDA'!H31</f>
        <v>0</v>
      </c>
      <c r="I8" s="37">
        <f>'Reconciliation Adj EBITDA'!I31</f>
        <v>0</v>
      </c>
      <c r="J8" s="37">
        <f>'Reconciliation Adj EBITDA'!J31</f>
        <v>0</v>
      </c>
      <c r="K8" s="48">
        <f>'Reconciliation Adj EBITDA'!K31</f>
        <v>0</v>
      </c>
      <c r="L8" s="37">
        <f>'Reconciliation Adj EBITDA'!L31</f>
        <v>0</v>
      </c>
      <c r="M8" s="37">
        <f>'Reconciliation Adj EBITDA'!M31</f>
        <v>0</v>
      </c>
      <c r="N8" s="37">
        <f>'Reconciliation Adj EBITDA'!N31</f>
        <v>0</v>
      </c>
      <c r="O8" s="37">
        <f>'Reconciliation Adj EBITDA'!O31</f>
        <v>2911</v>
      </c>
      <c r="P8" s="100">
        <f>'Reconciliation Adj EBITDA'!P31</f>
        <v>2911</v>
      </c>
      <c r="Q8" s="37">
        <f>'Reconciliation Adj EBITDA'!Q31</f>
        <v>-348</v>
      </c>
      <c r="R8" s="37">
        <f>'Reconciliation Adj EBITDA'!R31</f>
        <v>16</v>
      </c>
      <c r="S8" s="37">
        <f>'Reconciliation Adj EBITDA'!S31</f>
        <v>0</v>
      </c>
      <c r="T8" s="37">
        <f>'Reconciliation Adj EBITDA'!T31</f>
        <v>0</v>
      </c>
      <c r="U8" s="100">
        <f>'Reconciliation Adj EBITDA'!U31</f>
        <v>-332</v>
      </c>
      <c r="V8" s="37">
        <f>'Reconciliation Adj EBITDA'!V31</f>
        <v>0</v>
      </c>
      <c r="W8" s="37">
        <f>'Reconciliation Adj EBITDA'!W31</f>
        <v>124</v>
      </c>
      <c r="X8" s="37">
        <f>'Reconciliation Adj EBITDA'!X31</f>
        <v>172</v>
      </c>
      <c r="Y8" s="37">
        <f>'Reconciliation Adj EBITDA'!Y31</f>
        <v>1704</v>
      </c>
      <c r="Z8" s="100">
        <f>'Reconciliation Adj EBITDA'!Z31</f>
        <v>2000</v>
      </c>
      <c r="AA8" s="37">
        <f>'Reconciliation Adj EBITDA'!AA31</f>
        <v>995</v>
      </c>
      <c r="AB8" s="37">
        <f>'Reconciliation Adj EBITDA'!AB31</f>
        <v>513</v>
      </c>
      <c r="AC8" s="37">
        <f>'Reconciliation Adj EBITDA'!AC31</f>
        <v>1985</v>
      </c>
      <c r="AD8" s="37">
        <f>'Reconciliation Adj EBITDA'!AD31</f>
        <v>747</v>
      </c>
      <c r="AE8" s="100">
        <f>'Reconciliation Adj EBITDA'!AE31</f>
        <v>4240</v>
      </c>
      <c r="AF8" s="37">
        <f>'Reconciliation Adj EBITDA'!AF31</f>
        <v>1436</v>
      </c>
      <c r="AG8" s="37">
        <f>'Reconciliation Adj EBITDA'!AG31</f>
        <v>4831</v>
      </c>
      <c r="AH8" s="37">
        <f>'Reconciliation Adj EBITDA'!AH31</f>
        <v>-1029</v>
      </c>
      <c r="AI8" s="37">
        <f>'Reconciliation Adj EBITDA'!AI31</f>
        <v>513</v>
      </c>
      <c r="AJ8" s="100">
        <f>'Reconciliation Adj EBITDA'!AJ31</f>
        <v>5751</v>
      </c>
      <c r="AK8" s="37">
        <f>'Reconciliation Adj EBITDA'!AK31</f>
        <v>9</v>
      </c>
      <c r="AL8" s="37">
        <f>'Reconciliation Adj EBITDA'!AL31</f>
        <v>1029</v>
      </c>
      <c r="AM8" s="37">
        <f>'Reconciliation Adj EBITDA'!AM31</f>
        <v>-53</v>
      </c>
      <c r="AN8" s="37">
        <f>'Reconciliation Adj EBITDA'!AN31</f>
        <v>633</v>
      </c>
      <c r="AO8" s="100">
        <f>'Reconciliation Adj EBITDA'!AO31</f>
        <v>1618</v>
      </c>
      <c r="AP8" s="37">
        <f>'Reconciliation Adj EBITDA'!AP31</f>
        <v>874</v>
      </c>
      <c r="AQ8" s="259">
        <f>'Reconciliation Adj EBITDA'!AQ31</f>
        <v>4467</v>
      </c>
      <c r="AR8" s="37">
        <f>'Reconciliation Adj EBITDA'!AR31</f>
        <v>3482</v>
      </c>
      <c r="AS8" s="37">
        <v>1030</v>
      </c>
      <c r="AT8" s="100">
        <f>'Reconciliation Adj EBITDA'!AT31</f>
        <v>9853</v>
      </c>
      <c r="AU8" s="37">
        <f>'Reconciliation Adj EBITDA'!AU31</f>
        <v>471</v>
      </c>
      <c r="AV8" s="259"/>
    </row>
    <row r="9" spans="1:48" ht="15" customHeight="1" x14ac:dyDescent="0.25">
      <c r="A9" s="16" t="s">
        <v>205</v>
      </c>
      <c r="B9" s="65">
        <f>'Reconciliation Adj EBITDA'!B25</f>
        <v>109</v>
      </c>
      <c r="C9" s="65">
        <f>'Reconciliation Adj EBITDA'!C25</f>
        <v>115</v>
      </c>
      <c r="D9" s="65">
        <f>'Reconciliation Adj EBITDA'!D25</f>
        <v>54</v>
      </c>
      <c r="E9" s="65">
        <f>'Reconciliation Adj EBITDA'!E25</f>
        <v>46</v>
      </c>
      <c r="F9" s="64">
        <f>'Reconciliation Adj EBITDA'!F25</f>
        <v>324</v>
      </c>
      <c r="G9" s="65">
        <f>'Reconciliation Adj EBITDA'!G25</f>
        <v>40</v>
      </c>
      <c r="H9" s="65">
        <f>'Reconciliation Adj EBITDA'!H25</f>
        <v>44</v>
      </c>
      <c r="I9" s="65">
        <f>'Reconciliation Adj EBITDA'!I25</f>
        <v>3</v>
      </c>
      <c r="J9" s="65">
        <f>'Reconciliation Adj EBITDA'!J25</f>
        <v>-3</v>
      </c>
      <c r="K9" s="64">
        <f>'Reconciliation Adj EBITDA'!K25</f>
        <v>85</v>
      </c>
      <c r="L9" s="65">
        <f>'Reconciliation Adj EBITDA'!L25</f>
        <v>0</v>
      </c>
      <c r="M9" s="65">
        <f>'Reconciliation Adj EBITDA'!M25</f>
        <v>0</v>
      </c>
      <c r="N9" s="65">
        <f>'Reconciliation Adj EBITDA'!N25</f>
        <v>0</v>
      </c>
      <c r="O9" s="65">
        <f>'Reconciliation Adj EBITDA'!O25</f>
        <v>0</v>
      </c>
      <c r="P9" s="114">
        <f>'Reconciliation Adj EBITDA'!P25</f>
        <v>0</v>
      </c>
      <c r="Q9" s="65">
        <f>'Reconciliation Adj EBITDA'!Q25</f>
        <v>0</v>
      </c>
      <c r="R9" s="65">
        <f>'Reconciliation Adj EBITDA'!R25</f>
        <v>0</v>
      </c>
      <c r="S9" s="65">
        <f>'Reconciliation Adj EBITDA'!S25</f>
        <v>0</v>
      </c>
      <c r="T9" s="65">
        <f>'Reconciliation Adj EBITDA'!T25</f>
        <v>0</v>
      </c>
      <c r="U9" s="114">
        <f>'Reconciliation Adj EBITDA'!U25</f>
        <v>0</v>
      </c>
      <c r="V9" s="65">
        <f>'Reconciliation Adj EBITDA'!V25</f>
        <v>0</v>
      </c>
      <c r="W9" s="65">
        <f>'Reconciliation Adj EBITDA'!W25</f>
        <v>0</v>
      </c>
      <c r="X9" s="65">
        <f>'Reconciliation Adj EBITDA'!X25</f>
        <v>0</v>
      </c>
      <c r="Y9" s="65">
        <f>'Reconciliation Adj EBITDA'!Y25</f>
        <v>0</v>
      </c>
      <c r="Z9" s="114">
        <f>'Reconciliation Adj EBITDA'!Z25</f>
        <v>0</v>
      </c>
      <c r="AA9" s="65">
        <f>'Reconciliation Adj EBITDA'!AA25</f>
        <v>0</v>
      </c>
      <c r="AB9" s="65">
        <f>'Reconciliation Adj EBITDA'!AB25</f>
        <v>0</v>
      </c>
      <c r="AC9" s="65">
        <f>'Reconciliation Adj EBITDA'!AC25</f>
        <v>0</v>
      </c>
      <c r="AD9" s="65">
        <f>'Reconciliation Adj EBITDA'!AD25</f>
        <v>0</v>
      </c>
      <c r="AE9" s="114">
        <f>'Reconciliation Adj EBITDA'!AE25</f>
        <v>0</v>
      </c>
      <c r="AF9" s="65">
        <f>'Reconciliation Adj EBITDA'!AF25</f>
        <v>0</v>
      </c>
      <c r="AG9" s="65">
        <f>'Reconciliation Adj EBITDA'!AG25</f>
        <v>0</v>
      </c>
      <c r="AH9" s="65">
        <f>'Reconciliation Adj EBITDA'!AH25</f>
        <v>0</v>
      </c>
      <c r="AI9" s="65">
        <f>'Reconciliation Adj EBITDA'!AI25</f>
        <v>0</v>
      </c>
      <c r="AJ9" s="114">
        <f>'Reconciliation Adj EBITDA'!AJ25</f>
        <v>0</v>
      </c>
      <c r="AK9" s="65">
        <f>'Reconciliation Adj EBITDA'!AK25</f>
        <v>0</v>
      </c>
      <c r="AL9" s="65">
        <f>'Reconciliation Adj EBITDA'!AL25</f>
        <v>0</v>
      </c>
      <c r="AM9" s="65">
        <f>'Reconciliation Adj EBITDA'!AM25</f>
        <v>0</v>
      </c>
      <c r="AN9" s="65">
        <f>'Reconciliation Adj EBITDA'!AN25</f>
        <v>0</v>
      </c>
      <c r="AO9" s="114">
        <f>'Reconciliation Adj EBITDA'!AO25</f>
        <v>0</v>
      </c>
      <c r="AP9" s="65">
        <f>'Reconciliation Adj EBITDA'!AP22</f>
        <v>404</v>
      </c>
      <c r="AQ9" s="274">
        <f>'Reconciliation Adj EBITDA'!AQ22</f>
        <v>99</v>
      </c>
      <c r="AR9" s="65">
        <f>'Reconciliation Adj EBITDA'!AR22</f>
        <v>4</v>
      </c>
      <c r="AS9" s="65">
        <f>'Reconciliation Adj EBITDA'!AS22</f>
        <v>-3</v>
      </c>
      <c r="AT9" s="114">
        <f>'Reconciliation Adj EBITDA'!AT22</f>
        <v>504</v>
      </c>
      <c r="AU9" s="65">
        <f>'Reconciliation Adj EBITDA'!AU22</f>
        <v>0</v>
      </c>
      <c r="AV9" s="259"/>
    </row>
    <row r="10" spans="1:48" ht="15" customHeight="1" x14ac:dyDescent="0.25">
      <c r="A10" s="1" t="s">
        <v>216</v>
      </c>
      <c r="B10" s="67">
        <f t="shared" ref="B10:P10" si="0">SUM(B4:B9)</f>
        <v>-15073</v>
      </c>
      <c r="C10" s="67">
        <f t="shared" si="0"/>
        <v>-16559</v>
      </c>
      <c r="D10" s="67">
        <f t="shared" si="0"/>
        <v>-18943</v>
      </c>
      <c r="E10" s="67">
        <f t="shared" si="0"/>
        <v>-21229</v>
      </c>
      <c r="F10" s="72">
        <f t="shared" si="0"/>
        <v>-71805</v>
      </c>
      <c r="G10" s="67">
        <f t="shared" si="0"/>
        <v>-22661</v>
      </c>
      <c r="H10" s="67">
        <f t="shared" si="0"/>
        <v>-26502</v>
      </c>
      <c r="I10" s="67">
        <f t="shared" si="0"/>
        <v>-24336</v>
      </c>
      <c r="J10" s="67">
        <f t="shared" si="0"/>
        <v>-30537</v>
      </c>
      <c r="K10" s="72">
        <f t="shared" si="0"/>
        <v>-104034</v>
      </c>
      <c r="L10" s="67">
        <f t="shared" si="0"/>
        <v>-32515</v>
      </c>
      <c r="M10" s="67">
        <f t="shared" si="0"/>
        <v>-35907</v>
      </c>
      <c r="N10" s="67">
        <f t="shared" si="0"/>
        <v>-34516</v>
      </c>
      <c r="O10" s="67">
        <f t="shared" si="0"/>
        <v>-35136</v>
      </c>
      <c r="P10" s="133">
        <f t="shared" si="0"/>
        <v>-138074</v>
      </c>
      <c r="Q10" s="68">
        <f>SUM(Q4:Q9)</f>
        <v>-38670</v>
      </c>
      <c r="R10" s="68">
        <f>SUM(R4:R9)</f>
        <v>-38300</v>
      </c>
      <c r="S10" s="68">
        <f>SUM(S4:S9)</f>
        <v>-33963</v>
      </c>
      <c r="T10" s="67">
        <f t="shared" ref="T10:U10" si="1">SUM(T4:T9)</f>
        <v>-35984</v>
      </c>
      <c r="U10" s="133">
        <f t="shared" si="1"/>
        <v>-146917</v>
      </c>
      <c r="V10" s="68">
        <f>SUM(V4:V9)</f>
        <v>-38882</v>
      </c>
      <c r="W10" s="68">
        <f>SUM(W4:W9)</f>
        <v>-35963</v>
      </c>
      <c r="X10" s="68">
        <f>SUM(X4:X9)</f>
        <v>-33575</v>
      </c>
      <c r="Y10" s="67">
        <f t="shared" ref="Y10:Z10" si="2">SUM(Y4:Y9)</f>
        <v>-29867</v>
      </c>
      <c r="Z10" s="133">
        <f t="shared" si="2"/>
        <v>-138287</v>
      </c>
      <c r="AA10" s="68">
        <f>SUM(AA4:AA9)</f>
        <v>-28231</v>
      </c>
      <c r="AB10" s="68">
        <f>SUM(AB4:AB9)</f>
        <v>-26739</v>
      </c>
      <c r="AC10" s="68">
        <f>SUM(AC4:AC9)</f>
        <v>-23629</v>
      </c>
      <c r="AD10" s="67">
        <f t="shared" ref="AD10:AE10" si="3">SUM(AD4:AD9)</f>
        <v>-27566</v>
      </c>
      <c r="AE10" s="133">
        <f t="shared" si="3"/>
        <v>-106165</v>
      </c>
      <c r="AF10" s="68">
        <f>SUM(AF4:AF9)</f>
        <v>-25837</v>
      </c>
      <c r="AG10" s="68">
        <f>SUM(AG4:AG9)</f>
        <v>-30484</v>
      </c>
      <c r="AH10" s="68">
        <f>SUM(AH4:AH9)</f>
        <v>-26789</v>
      </c>
      <c r="AI10" s="67">
        <f t="shared" ref="AI10:AJ10" si="4">SUM(AI4:AI9)</f>
        <v>-36452</v>
      </c>
      <c r="AJ10" s="133">
        <f t="shared" si="4"/>
        <v>-119562</v>
      </c>
      <c r="AK10" s="67">
        <f>SUM(AK4:AK9)</f>
        <v>-26616</v>
      </c>
      <c r="AL10" s="68">
        <f>SUM(AL4:AL9)</f>
        <v>-31572</v>
      </c>
      <c r="AM10" s="68">
        <f>SUM(AM4:AM9)</f>
        <v>-27819</v>
      </c>
      <c r="AN10" s="68">
        <f t="shared" ref="AN10:AO10" si="5">SUM(AN4:AN9)</f>
        <v>-40092</v>
      </c>
      <c r="AO10" s="133">
        <f t="shared" si="5"/>
        <v>-126099</v>
      </c>
      <c r="AP10" s="67">
        <f>SUM(AP4:AP9)</f>
        <v>-35558</v>
      </c>
      <c r="AQ10" s="284">
        <f>SUM(AQ4:AQ9)</f>
        <v>-38258</v>
      </c>
      <c r="AR10" s="68">
        <f>SUM(AR4:AR9)</f>
        <v>-37620</v>
      </c>
      <c r="AS10" s="68">
        <f>SUM(AS4:AS9)</f>
        <v>-26670</v>
      </c>
      <c r="AT10" s="133">
        <f t="shared" ref="AT10" si="6">SUM(AT4:AT9)</f>
        <v>-138106</v>
      </c>
      <c r="AU10" s="67">
        <f>SUM(AU4:AU9)</f>
        <v>-39374</v>
      </c>
      <c r="AV10" s="314"/>
    </row>
    <row r="11" spans="1:48" ht="15" customHeight="1" x14ac:dyDescent="0.25">
      <c r="A11" s="1" t="s">
        <v>217</v>
      </c>
      <c r="B11" s="69">
        <f>'P&amp;L'!B15</f>
        <v>-53083</v>
      </c>
      <c r="C11" s="69">
        <f>'P&amp;L'!C15</f>
        <v>-59727</v>
      </c>
      <c r="D11" s="69">
        <f>'P&amp;L'!D15</f>
        <v>-56310</v>
      </c>
      <c r="E11" s="69">
        <f>'P&amp;L'!E15</f>
        <v>-60410</v>
      </c>
      <c r="F11" s="73">
        <f>'P&amp;L'!F15</f>
        <v>-229530</v>
      </c>
      <c r="G11" s="69">
        <f>'P&amp;L'!G15</f>
        <v>-64473</v>
      </c>
      <c r="H11" s="69">
        <f>'P&amp;L'!H15</f>
        <v>-69225</v>
      </c>
      <c r="I11" s="69">
        <f>'P&amp;L'!I15</f>
        <v>-68164</v>
      </c>
      <c r="J11" s="69">
        <f>'P&amp;L'!J15</f>
        <v>-80991</v>
      </c>
      <c r="K11" s="73">
        <f>'P&amp;L'!K15</f>
        <v>-282853</v>
      </c>
      <c r="L11" s="69">
        <f>'P&amp;L'!L15</f>
        <v>-90730</v>
      </c>
      <c r="M11" s="69">
        <f>'P&amp;L'!M15</f>
        <v>-97900</v>
      </c>
      <c r="N11" s="69">
        <f>'P&amp;L'!N15</f>
        <v>-95184</v>
      </c>
      <c r="O11" s="69">
        <f>'P&amp;L'!O15</f>
        <v>-96834</v>
      </c>
      <c r="P11" s="135">
        <f>'P&amp;L'!P15</f>
        <v>-380649</v>
      </c>
      <c r="Q11" s="69">
        <f>'P&amp;L'!Q15</f>
        <v>-95649</v>
      </c>
      <c r="R11" s="69">
        <f>'P&amp;L'!R15</f>
        <v>-92726</v>
      </c>
      <c r="S11" s="69">
        <f>'P&amp;L'!S15</f>
        <v>-90526</v>
      </c>
      <c r="T11" s="69">
        <f>'P&amp;L'!T15</f>
        <v>-93806</v>
      </c>
      <c r="U11" s="135">
        <f>'P&amp;L'!U15</f>
        <v>-372707</v>
      </c>
      <c r="V11" s="69">
        <f>'P&amp;L'!V15</f>
        <v>-95909</v>
      </c>
      <c r="W11" s="69">
        <f>'P&amp;L'!W15</f>
        <v>-95503</v>
      </c>
      <c r="X11" s="69">
        <f>'P&amp;L'!X15</f>
        <v>-85985</v>
      </c>
      <c r="Y11" s="69">
        <f>'P&amp;L'!Y15</f>
        <v>-98080</v>
      </c>
      <c r="Z11" s="135">
        <f>'P&amp;L'!Z15</f>
        <v>-375477</v>
      </c>
      <c r="AA11" s="69">
        <f>'P&amp;L'!AA15</f>
        <v>-84974</v>
      </c>
      <c r="AB11" s="69">
        <f>'P&amp;L'!AB15</f>
        <v>-75781</v>
      </c>
      <c r="AC11" s="69">
        <f>'P&amp;L'!AC15</f>
        <v>-83659</v>
      </c>
      <c r="AD11" s="69">
        <f>'P&amp;L'!AD15</f>
        <v>-85871</v>
      </c>
      <c r="AE11" s="135">
        <f>'P&amp;L'!AE15</f>
        <v>-330285</v>
      </c>
      <c r="AF11" s="69">
        <f>'P&amp;L'!AF15</f>
        <v>-79354</v>
      </c>
      <c r="AG11" s="69">
        <f>'P&amp;L'!AG15</f>
        <v>-80751</v>
      </c>
      <c r="AH11" s="69">
        <f>'P&amp;L'!AH15</f>
        <v>-75619</v>
      </c>
      <c r="AI11" s="69">
        <f>'P&amp;L'!AI15</f>
        <v>-89892</v>
      </c>
      <c r="AJ11" s="135">
        <f>'P&amp;L'!AJ15</f>
        <v>-325616</v>
      </c>
      <c r="AK11" s="69">
        <f>'P&amp;L'!AK15</f>
        <v>-88999</v>
      </c>
      <c r="AL11" s="69">
        <f>'P&amp;L'!AL15</f>
        <v>-99313</v>
      </c>
      <c r="AM11" s="69">
        <f>'P&amp;L'!AM15</f>
        <v>-90051</v>
      </c>
      <c r="AN11" s="69">
        <f>'P&amp;L'!AN15</f>
        <v>-99633</v>
      </c>
      <c r="AO11" s="135">
        <f>'P&amp;L'!AO15</f>
        <v>-377996</v>
      </c>
      <c r="AP11" s="69">
        <f>'P&amp;L'!AP15</f>
        <v>-101242</v>
      </c>
      <c r="AQ11" s="285">
        <f>'P&amp;L'!AQ15</f>
        <v>-112511</v>
      </c>
      <c r="AR11" s="69">
        <f>'P&amp;L'!AR15</f>
        <v>-94572</v>
      </c>
      <c r="AS11" s="69">
        <f>'P&amp;L'!AS15</f>
        <v>-97687</v>
      </c>
      <c r="AT11" s="135">
        <f>'P&amp;L'!AT15</f>
        <v>-406012</v>
      </c>
      <c r="AU11" s="69">
        <f>'P&amp;L'!AU15</f>
        <v>-92842</v>
      </c>
      <c r="AV11" s="314"/>
    </row>
    <row r="12" spans="1:48" ht="15" customHeight="1" x14ac:dyDescent="0.25">
      <c r="A12" s="16" t="s">
        <v>198</v>
      </c>
      <c r="B12" s="37">
        <f>'Reconciliation Adj EBITDA'!B10</f>
        <v>3454</v>
      </c>
      <c r="C12" s="37">
        <f>'Reconciliation Adj EBITDA'!C10</f>
        <v>2903</v>
      </c>
      <c r="D12" s="37">
        <f>'Reconciliation Adj EBITDA'!D10</f>
        <v>1715</v>
      </c>
      <c r="E12" s="37">
        <f>'Reconciliation Adj EBITDA'!E10</f>
        <v>3606</v>
      </c>
      <c r="F12" s="48">
        <f>'Reconciliation Adj EBITDA'!F10</f>
        <v>11678</v>
      </c>
      <c r="G12" s="37">
        <f>'Reconciliation Adj EBITDA'!G10</f>
        <v>3390</v>
      </c>
      <c r="H12" s="37">
        <f>'Reconciliation Adj EBITDA'!H10</f>
        <v>2488</v>
      </c>
      <c r="I12" s="37">
        <f>'Reconciliation Adj EBITDA'!I10</f>
        <v>5143</v>
      </c>
      <c r="J12" s="37">
        <f>'Reconciliation Adj EBITDA'!J10</f>
        <v>5816</v>
      </c>
      <c r="K12" s="48">
        <f>'Reconciliation Adj EBITDA'!K10</f>
        <v>16838</v>
      </c>
      <c r="L12" s="37">
        <f>'Reconciliation Adj EBITDA'!L10</f>
        <v>6710</v>
      </c>
      <c r="M12" s="37">
        <f>'Reconciliation Adj EBITDA'!M10</f>
        <v>6401</v>
      </c>
      <c r="N12" s="37">
        <f>'Reconciliation Adj EBITDA'!N10</f>
        <v>9897</v>
      </c>
      <c r="O12" s="37">
        <f>'Reconciliation Adj EBITDA'!O10</f>
        <v>8377</v>
      </c>
      <c r="P12" s="100">
        <f>'Reconciliation Adj EBITDA'!P10</f>
        <v>31386</v>
      </c>
      <c r="Q12" s="37">
        <f>'Reconciliation Adj EBITDA'!Q10</f>
        <v>7832</v>
      </c>
      <c r="R12" s="37">
        <f>'Reconciliation Adj EBITDA'!R10</f>
        <v>8668</v>
      </c>
      <c r="S12" s="37">
        <f>'Reconciliation Adj EBITDA'!S10</f>
        <v>6952</v>
      </c>
      <c r="T12" s="37">
        <f>'Reconciliation Adj EBITDA'!T10</f>
        <v>5793</v>
      </c>
      <c r="U12" s="100">
        <f>'Reconciliation Adj EBITDA'!U10</f>
        <v>29244</v>
      </c>
      <c r="V12" s="37">
        <f>'Reconciliation Adj EBITDA'!V10</f>
        <v>6201</v>
      </c>
      <c r="W12" s="37">
        <f>'Reconciliation Adj EBITDA'!W10</f>
        <v>5693</v>
      </c>
      <c r="X12" s="37">
        <f>'Reconciliation Adj EBITDA'!X10</f>
        <v>4398</v>
      </c>
      <c r="Y12" s="37">
        <f>'Reconciliation Adj EBITDA'!Y10</f>
        <v>3009</v>
      </c>
      <c r="Z12" s="100">
        <f>'Reconciliation Adj EBITDA'!Z10</f>
        <v>19301</v>
      </c>
      <c r="AA12" s="37">
        <f>'Reconciliation Adj EBITDA'!AA10</f>
        <v>3618</v>
      </c>
      <c r="AB12" s="37">
        <f>'Reconciliation Adj EBITDA'!AB10</f>
        <v>1572</v>
      </c>
      <c r="AC12" s="37">
        <f>'Reconciliation Adj EBITDA'!AC10</f>
        <v>3190</v>
      </c>
      <c r="AD12" s="37">
        <f>'Reconciliation Adj EBITDA'!AD10</f>
        <v>3662</v>
      </c>
      <c r="AE12" s="100">
        <f>'Reconciliation Adj EBITDA'!AE10</f>
        <v>12042</v>
      </c>
      <c r="AF12" s="37">
        <f>'Reconciliation Adj EBITDA'!AF10</f>
        <v>2369</v>
      </c>
      <c r="AG12" s="37">
        <f>'Reconciliation Adj EBITDA'!AG10</f>
        <v>3636</v>
      </c>
      <c r="AH12" s="37">
        <f>'Reconciliation Adj EBITDA'!AH10</f>
        <v>3875</v>
      </c>
      <c r="AI12" s="37">
        <f>'Reconciliation Adj EBITDA'!AI10</f>
        <v>3143</v>
      </c>
      <c r="AJ12" s="100">
        <f>'Reconciliation Adj EBITDA'!AJ10</f>
        <v>13023</v>
      </c>
      <c r="AK12" s="37">
        <f>'Reconciliation Adj EBITDA'!AK10</f>
        <v>2568</v>
      </c>
      <c r="AL12" s="37">
        <f>'Reconciliation Adj EBITDA'!AL10</f>
        <v>2550</v>
      </c>
      <c r="AM12" s="37">
        <f>'Reconciliation Adj EBITDA'!AM10</f>
        <v>4577</v>
      </c>
      <c r="AN12" s="37">
        <f>'Reconciliation Adj EBITDA'!AN10</f>
        <v>4505</v>
      </c>
      <c r="AO12" s="100">
        <f>'Reconciliation Adj EBITDA'!AO10</f>
        <v>14200</v>
      </c>
      <c r="AP12" s="37">
        <f>'Reconciliation Adj EBITDA'!AP10</f>
        <v>4740</v>
      </c>
      <c r="AQ12" s="259">
        <f>'Reconciliation Adj EBITDA'!AQ10</f>
        <v>5687</v>
      </c>
      <c r="AR12" s="37">
        <f>'Reconciliation Adj EBITDA'!AR10</f>
        <v>6387</v>
      </c>
      <c r="AS12" s="37">
        <f>'Reconciliation Adj EBITDA'!AS10</f>
        <v>4819</v>
      </c>
      <c r="AT12" s="100">
        <f>'Reconciliation Adj EBITDA'!AT10</f>
        <v>21633</v>
      </c>
      <c r="AU12" s="37">
        <f>'Reconciliation Adj EBITDA'!AU10</f>
        <v>5727</v>
      </c>
      <c r="AV12" s="259"/>
    </row>
    <row r="13" spans="1:48" ht="15" customHeight="1" x14ac:dyDescent="0.25">
      <c r="A13" s="16" t="s">
        <v>215</v>
      </c>
      <c r="B13" s="37">
        <f>'Reconciliation Adj EBITDA'!B19</f>
        <v>992</v>
      </c>
      <c r="C13" s="37">
        <f>'Reconciliation Adj EBITDA'!C19</f>
        <v>1112</v>
      </c>
      <c r="D13" s="37">
        <f>'Reconciliation Adj EBITDA'!D19</f>
        <v>1330</v>
      </c>
      <c r="E13" s="37">
        <f>'Reconciliation Adj EBITDA'!E19</f>
        <v>1744</v>
      </c>
      <c r="F13" s="48">
        <f>'Reconciliation Adj EBITDA'!F19</f>
        <v>5178</v>
      </c>
      <c r="G13" s="37">
        <f>'Reconciliation Adj EBITDA'!G19</f>
        <v>1771</v>
      </c>
      <c r="H13" s="37">
        <f>'Reconciliation Adj EBITDA'!H19</f>
        <v>2019</v>
      </c>
      <c r="I13" s="37">
        <f>'Reconciliation Adj EBITDA'!I19</f>
        <v>1813</v>
      </c>
      <c r="J13" s="37">
        <f>'Reconciliation Adj EBITDA'!J19</f>
        <v>2153</v>
      </c>
      <c r="K13" s="48">
        <f>'Reconciliation Adj EBITDA'!K19</f>
        <v>7757</v>
      </c>
      <c r="L13" s="37">
        <f>'Reconciliation Adj EBITDA'!L19</f>
        <v>4961</v>
      </c>
      <c r="M13" s="37">
        <f>'Reconciliation Adj EBITDA'!M19</f>
        <v>4925</v>
      </c>
      <c r="N13" s="37">
        <f>'Reconciliation Adj EBITDA'!N19</f>
        <v>5102</v>
      </c>
      <c r="O13" s="37">
        <f>'Reconciliation Adj EBITDA'!O19</f>
        <v>4856</v>
      </c>
      <c r="P13" s="100">
        <f>'Reconciliation Adj EBITDA'!P19</f>
        <v>19844</v>
      </c>
      <c r="Q13" s="37">
        <f>'Reconciliation Adj EBITDA'!Q19</f>
        <v>4454</v>
      </c>
      <c r="R13" s="37">
        <f>'Reconciliation Adj EBITDA'!R19</f>
        <v>4518</v>
      </c>
      <c r="S13" s="37">
        <f>'Reconciliation Adj EBITDA'!S19</f>
        <v>4442</v>
      </c>
      <c r="T13" s="37">
        <f>'Reconciliation Adj EBITDA'!T19</f>
        <v>4831</v>
      </c>
      <c r="U13" s="100">
        <f>'Reconciliation Adj EBITDA'!U19</f>
        <v>18245</v>
      </c>
      <c r="V13" s="37">
        <f>'Reconciliation Adj EBITDA'!V19</f>
        <v>4864</v>
      </c>
      <c r="W13" s="37">
        <f>'Reconciliation Adj EBITDA'!W19</f>
        <v>5109</v>
      </c>
      <c r="X13" s="37">
        <f>'Reconciliation Adj EBITDA'!X19</f>
        <v>4178</v>
      </c>
      <c r="Y13" s="37">
        <f>'Reconciliation Adj EBITDA'!Y19</f>
        <v>10763</v>
      </c>
      <c r="Z13" s="100">
        <f>'Reconciliation Adj EBITDA'!Z19</f>
        <v>24914</v>
      </c>
      <c r="AA13" s="37">
        <f>'Reconciliation Adj EBITDA'!AA19</f>
        <v>4340</v>
      </c>
      <c r="AB13" s="37">
        <f>'Reconciliation Adj EBITDA'!AB19</f>
        <v>4221</v>
      </c>
      <c r="AC13" s="37">
        <f>'Reconciliation Adj EBITDA'!AC19</f>
        <v>4176</v>
      </c>
      <c r="AD13" s="37">
        <f>'Reconciliation Adj EBITDA'!AD19</f>
        <v>4033</v>
      </c>
      <c r="AE13" s="100">
        <f>'Reconciliation Adj EBITDA'!AE19</f>
        <v>16770</v>
      </c>
      <c r="AF13" s="37">
        <f>'Reconciliation Adj EBITDA'!AF19</f>
        <v>3954</v>
      </c>
      <c r="AG13" s="37">
        <f>'Reconciliation Adj EBITDA'!AG19</f>
        <v>3702</v>
      </c>
      <c r="AH13" s="37">
        <f>'Reconciliation Adj EBITDA'!AH19</f>
        <v>3545</v>
      </c>
      <c r="AI13" s="37">
        <f>'Reconciliation Adj EBITDA'!AI19</f>
        <v>3579</v>
      </c>
      <c r="AJ13" s="100">
        <f>'Reconciliation Adj EBITDA'!AJ19</f>
        <v>14780</v>
      </c>
      <c r="AK13" s="37">
        <f>'Reconciliation Adj EBITDA'!AK19</f>
        <v>3609</v>
      </c>
      <c r="AL13" s="37">
        <f>'Reconciliation Adj EBITDA'!AL19</f>
        <v>3729</v>
      </c>
      <c r="AM13" s="37">
        <f>'Reconciliation Adj EBITDA'!AM19</f>
        <v>3540</v>
      </c>
      <c r="AN13" s="37">
        <f>'Reconciliation Adj EBITDA'!AN19</f>
        <v>3930</v>
      </c>
      <c r="AO13" s="100">
        <f>'Reconciliation Adj EBITDA'!AO19</f>
        <v>14808</v>
      </c>
      <c r="AP13" s="37">
        <f>'Reconciliation Adj EBITDA'!AP19</f>
        <v>2816</v>
      </c>
      <c r="AQ13" s="259">
        <f>'Reconciliation Adj EBITDA'!AQ19</f>
        <v>4059</v>
      </c>
      <c r="AR13" s="37">
        <f>'Reconciliation Adj EBITDA'!AR19</f>
        <v>3252</v>
      </c>
      <c r="AS13" s="37">
        <f>'Reconciliation Adj EBITDA'!AS19</f>
        <v>3140</v>
      </c>
      <c r="AT13" s="100">
        <f>'Reconciliation Adj EBITDA'!AT19</f>
        <v>13267</v>
      </c>
      <c r="AU13" s="37">
        <f>'Reconciliation Adj EBITDA'!AU19</f>
        <v>3233</v>
      </c>
      <c r="AV13" s="259"/>
    </row>
    <row r="14" spans="1:48" ht="15" customHeight="1" x14ac:dyDescent="0.25">
      <c r="A14" s="16" t="s">
        <v>202</v>
      </c>
      <c r="B14" s="37">
        <f>'Reconciliation Adj EBITDA'!B14</f>
        <v>39</v>
      </c>
      <c r="C14" s="37">
        <f>'Reconciliation Adj EBITDA'!C14</f>
        <v>39</v>
      </c>
      <c r="D14" s="37">
        <f>'Reconciliation Adj EBITDA'!D14</f>
        <v>37</v>
      </c>
      <c r="E14" s="37">
        <f>'Reconciliation Adj EBITDA'!E14</f>
        <v>38</v>
      </c>
      <c r="F14" s="48">
        <f>'Reconciliation Adj EBITDA'!F14</f>
        <v>153</v>
      </c>
      <c r="G14" s="37">
        <f>'Reconciliation Adj EBITDA'!G14</f>
        <v>34</v>
      </c>
      <c r="H14" s="37">
        <f>'Reconciliation Adj EBITDA'!H14</f>
        <v>35</v>
      </c>
      <c r="I14" s="37">
        <f>'Reconciliation Adj EBITDA'!I14</f>
        <v>38</v>
      </c>
      <c r="J14" s="37">
        <f>'Reconciliation Adj EBITDA'!J14</f>
        <v>37</v>
      </c>
      <c r="K14" s="48">
        <f>'Reconciliation Adj EBITDA'!K14</f>
        <v>144</v>
      </c>
      <c r="L14" s="37">
        <f>'Reconciliation Adj EBITDA'!L14</f>
        <v>59</v>
      </c>
      <c r="M14" s="37">
        <f>'Reconciliation Adj EBITDA'!M14</f>
        <v>60</v>
      </c>
      <c r="N14" s="37">
        <f>'Reconciliation Adj EBITDA'!N14</f>
        <v>65</v>
      </c>
      <c r="O14" s="37">
        <f>'Reconciliation Adj EBITDA'!O14</f>
        <v>63</v>
      </c>
      <c r="P14" s="100">
        <f>'Reconciliation Adj EBITDA'!P14</f>
        <v>247</v>
      </c>
      <c r="Q14" s="37">
        <f>'Reconciliation Adj EBITDA'!Q14</f>
        <v>79</v>
      </c>
      <c r="R14" s="37">
        <f>'Reconciliation Adj EBITDA'!R14</f>
        <v>75</v>
      </c>
      <c r="S14" s="37">
        <f>'Reconciliation Adj EBITDA'!S14</f>
        <v>83</v>
      </c>
      <c r="T14" s="37">
        <f>'Reconciliation Adj EBITDA'!T14</f>
        <v>88</v>
      </c>
      <c r="U14" s="100">
        <f>'Reconciliation Adj EBITDA'!U14</f>
        <v>325</v>
      </c>
      <c r="V14" s="37">
        <f>'Reconciliation Adj EBITDA'!V14</f>
        <v>72</v>
      </c>
      <c r="W14" s="37">
        <f>'Reconciliation Adj EBITDA'!W14</f>
        <v>71</v>
      </c>
      <c r="X14" s="37">
        <f>'Reconciliation Adj EBITDA'!X14</f>
        <v>71</v>
      </c>
      <c r="Y14" s="37">
        <f>'Reconciliation Adj EBITDA'!Y14</f>
        <v>69</v>
      </c>
      <c r="Z14" s="100">
        <f>'Reconciliation Adj EBITDA'!Z14</f>
        <v>283</v>
      </c>
      <c r="AA14" s="37">
        <f>'Reconciliation Adj EBITDA'!AA14</f>
        <v>95</v>
      </c>
      <c r="AB14" s="37">
        <f>'Reconciliation Adj EBITDA'!AB14</f>
        <v>95</v>
      </c>
      <c r="AC14" s="37">
        <f>'Reconciliation Adj EBITDA'!AC14</f>
        <v>101</v>
      </c>
      <c r="AD14" s="37">
        <f>'Reconciliation Adj EBITDA'!AD14</f>
        <v>103</v>
      </c>
      <c r="AE14" s="100">
        <f>'Reconciliation Adj EBITDA'!AE14</f>
        <v>394</v>
      </c>
      <c r="AF14" s="37">
        <f>'Reconciliation Adj EBITDA'!AF14</f>
        <v>53</v>
      </c>
      <c r="AG14" s="37">
        <f>'Reconciliation Adj EBITDA'!AG14</f>
        <v>53</v>
      </c>
      <c r="AH14" s="37">
        <f>'Reconciliation Adj EBITDA'!AH14</f>
        <v>52</v>
      </c>
      <c r="AI14" s="37">
        <f>'Reconciliation Adj EBITDA'!AI14</f>
        <v>49</v>
      </c>
      <c r="AJ14" s="100">
        <f>'Reconciliation Adj EBITDA'!AJ14</f>
        <v>207</v>
      </c>
      <c r="AK14" s="37">
        <f>'Reconciliation Adj EBITDA'!AK14</f>
        <v>40</v>
      </c>
      <c r="AL14" s="37">
        <f>'Reconciliation Adj EBITDA'!AL14</f>
        <v>39</v>
      </c>
      <c r="AM14" s="37">
        <f>'Reconciliation Adj EBITDA'!AM14</f>
        <v>40</v>
      </c>
      <c r="AN14" s="37">
        <f>'Reconciliation Adj EBITDA'!AN14</f>
        <v>220</v>
      </c>
      <c r="AO14" s="100">
        <f>'Reconciliation Adj EBITDA'!AO14</f>
        <v>339</v>
      </c>
      <c r="AP14" s="37">
        <f>'Reconciliation Adj EBITDA'!AP14</f>
        <v>28</v>
      </c>
      <c r="AQ14" s="259">
        <f>'Reconciliation Adj EBITDA'!AQ14</f>
        <v>27</v>
      </c>
      <c r="AR14" s="37">
        <f>'Reconciliation Adj EBITDA'!AR14</f>
        <v>28</v>
      </c>
      <c r="AS14" s="37">
        <f>'Reconciliation Adj EBITDA'!AS14</f>
        <v>-132</v>
      </c>
      <c r="AT14" s="100">
        <f>'Reconciliation Adj EBITDA'!AT14</f>
        <v>-49</v>
      </c>
      <c r="AU14" s="37">
        <f>'Reconciliation Adj EBITDA'!AU14</f>
        <v>26</v>
      </c>
      <c r="AV14" s="259"/>
    </row>
    <row r="15" spans="1:48" ht="15" customHeight="1" x14ac:dyDescent="0.25">
      <c r="A15" s="16" t="s">
        <v>205</v>
      </c>
      <c r="B15" s="37"/>
      <c r="C15" s="37"/>
      <c r="D15" s="37"/>
      <c r="E15" s="37"/>
      <c r="F15" s="48"/>
      <c r="G15" s="37"/>
      <c r="H15" s="37"/>
      <c r="I15" s="37"/>
      <c r="J15" s="37"/>
      <c r="K15" s="48"/>
      <c r="L15" s="37"/>
      <c r="M15" s="37"/>
      <c r="N15" s="37"/>
      <c r="O15" s="37"/>
      <c r="P15" s="100"/>
      <c r="Q15" s="37"/>
      <c r="R15" s="37"/>
      <c r="S15" s="37"/>
      <c r="T15" s="37"/>
      <c r="U15" s="100"/>
      <c r="V15" s="37"/>
      <c r="W15" s="37"/>
      <c r="X15" s="37"/>
      <c r="Y15" s="37"/>
      <c r="Z15" s="100"/>
      <c r="AA15" s="37"/>
      <c r="AB15" s="37"/>
      <c r="AC15" s="37"/>
      <c r="AD15" s="37"/>
      <c r="AE15" s="100"/>
      <c r="AF15" s="37"/>
      <c r="AG15" s="37"/>
      <c r="AH15" s="37"/>
      <c r="AI15" s="37"/>
      <c r="AJ15" s="100"/>
      <c r="AK15" s="37">
        <v>0</v>
      </c>
      <c r="AL15" s="37">
        <v>178</v>
      </c>
      <c r="AM15" s="37">
        <v>-11</v>
      </c>
      <c r="AN15" s="37">
        <v>-2</v>
      </c>
      <c r="AO15" s="100">
        <f>SUM(AL15:AN15)</f>
        <v>165</v>
      </c>
      <c r="AP15" s="37">
        <v>0</v>
      </c>
      <c r="AQ15" s="259">
        <v>0</v>
      </c>
      <c r="AR15" s="37">
        <v>0</v>
      </c>
      <c r="AS15" s="37">
        <v>0</v>
      </c>
      <c r="AT15" s="100">
        <f>SUM(AQ15:AS15)</f>
        <v>0</v>
      </c>
      <c r="AU15" s="37">
        <v>0</v>
      </c>
      <c r="AV15" s="259"/>
    </row>
    <row r="16" spans="1:48" ht="15" customHeight="1" x14ac:dyDescent="0.25">
      <c r="A16" s="16" t="s">
        <v>208</v>
      </c>
      <c r="B16" s="65">
        <f>'Reconciliation Adj EBITDA'!B32</f>
        <v>0</v>
      </c>
      <c r="C16" s="65">
        <f>'Reconciliation Adj EBITDA'!C32</f>
        <v>0</v>
      </c>
      <c r="D16" s="65">
        <f>'Reconciliation Adj EBITDA'!D32</f>
        <v>0</v>
      </c>
      <c r="E16" s="65">
        <f>'Reconciliation Adj EBITDA'!E32</f>
        <v>0</v>
      </c>
      <c r="F16" s="64">
        <f>'Reconciliation Adj EBITDA'!F32</f>
        <v>0</v>
      </c>
      <c r="G16" s="65">
        <f>'Reconciliation Adj EBITDA'!G32</f>
        <v>0</v>
      </c>
      <c r="H16" s="65">
        <f>'Reconciliation Adj EBITDA'!H32</f>
        <v>0</v>
      </c>
      <c r="I16" s="65">
        <f>'Reconciliation Adj EBITDA'!I32</f>
        <v>0</v>
      </c>
      <c r="J16" s="65">
        <f>'Reconciliation Adj EBITDA'!J32</f>
        <v>0</v>
      </c>
      <c r="K16" s="64">
        <f>'Reconciliation Adj EBITDA'!K32</f>
        <v>0</v>
      </c>
      <c r="L16" s="65">
        <f>'Reconciliation Adj EBITDA'!L32</f>
        <v>0</v>
      </c>
      <c r="M16" s="65">
        <f>'Reconciliation Adj EBITDA'!M32</f>
        <v>690</v>
      </c>
      <c r="N16" s="65">
        <f>'Reconciliation Adj EBITDA'!N32</f>
        <v>0</v>
      </c>
      <c r="O16" s="65">
        <f>'Reconciliation Adj EBITDA'!O32</f>
        <v>1135</v>
      </c>
      <c r="P16" s="114">
        <f>'Reconciliation Adj EBITDA'!P32</f>
        <v>1825</v>
      </c>
      <c r="Q16" s="65">
        <f>'Reconciliation Adj EBITDA'!Q32</f>
        <v>107</v>
      </c>
      <c r="R16" s="65">
        <f>'Reconciliation Adj EBITDA'!R32</f>
        <v>183</v>
      </c>
      <c r="S16" s="65">
        <f>'Reconciliation Adj EBITDA'!S32</f>
        <v>0</v>
      </c>
      <c r="T16" s="65">
        <f>'Reconciliation Adj EBITDA'!T32</f>
        <v>0</v>
      </c>
      <c r="U16" s="114">
        <f>'Reconciliation Adj EBITDA'!U32</f>
        <v>290</v>
      </c>
      <c r="V16" s="65">
        <f>'Reconciliation Adj EBITDA'!V32</f>
        <v>1890</v>
      </c>
      <c r="W16" s="65">
        <f>'Reconciliation Adj EBITDA'!W32</f>
        <v>175</v>
      </c>
      <c r="X16" s="65">
        <f>'Reconciliation Adj EBITDA'!X32</f>
        <v>131</v>
      </c>
      <c r="Y16" s="65">
        <f>'Reconciliation Adj EBITDA'!Y32</f>
        <v>6614</v>
      </c>
      <c r="Z16" s="114">
        <f>'Reconciliation Adj EBITDA'!Z32</f>
        <v>8810</v>
      </c>
      <c r="AA16" s="65">
        <f>'Reconciliation Adj EBITDA'!AA32</f>
        <v>1021</v>
      </c>
      <c r="AB16" s="65">
        <f>'Reconciliation Adj EBITDA'!AB32</f>
        <v>415</v>
      </c>
      <c r="AC16" s="65">
        <f>'Reconciliation Adj EBITDA'!AC32</f>
        <v>5357</v>
      </c>
      <c r="AD16" s="65">
        <f>'Reconciliation Adj EBITDA'!AD32</f>
        <v>2605</v>
      </c>
      <c r="AE16" s="114">
        <f>'Reconciliation Adj EBITDA'!AE32</f>
        <v>9398</v>
      </c>
      <c r="AF16" s="65">
        <f>'Reconciliation Adj EBITDA'!AF32</f>
        <v>7367</v>
      </c>
      <c r="AG16" s="65">
        <f>'Reconciliation Adj EBITDA'!AG32</f>
        <v>1551</v>
      </c>
      <c r="AH16" s="65">
        <f>'Reconciliation Adj EBITDA'!AH32</f>
        <v>-106</v>
      </c>
      <c r="AI16" s="65">
        <f>'Reconciliation Adj EBITDA'!AI32</f>
        <v>568</v>
      </c>
      <c r="AJ16" s="114">
        <f>'Reconciliation Adj EBITDA'!AJ32</f>
        <v>9380</v>
      </c>
      <c r="AK16" s="65">
        <f>'Reconciliation Adj EBITDA'!AK32</f>
        <v>456</v>
      </c>
      <c r="AL16" s="65">
        <f>'Reconciliation Adj EBITDA'!AL32</f>
        <v>4076</v>
      </c>
      <c r="AM16" s="65">
        <f>'Reconciliation Adj EBITDA'!AM32</f>
        <v>-624</v>
      </c>
      <c r="AN16" s="65">
        <f>'Reconciliation Adj EBITDA'!AN32</f>
        <v>408</v>
      </c>
      <c r="AO16" s="114">
        <f>'Reconciliation Adj EBITDA'!AO32</f>
        <v>4316</v>
      </c>
      <c r="AP16" s="65">
        <f>'Reconciliation Adj EBITDA'!AP32</f>
        <v>4734</v>
      </c>
      <c r="AQ16" s="274">
        <f>'Reconciliation Adj EBITDA'!AQ32</f>
        <v>12667</v>
      </c>
      <c r="AR16" s="65">
        <f>'Reconciliation Adj EBITDA'!AR32</f>
        <v>-391</v>
      </c>
      <c r="AS16" s="65">
        <v>2913</v>
      </c>
      <c r="AT16" s="114">
        <f>'Reconciliation Adj EBITDA'!AT32</f>
        <v>19923</v>
      </c>
      <c r="AU16" s="65">
        <f>'Reconciliation Adj EBITDA'!AU32</f>
        <v>494</v>
      </c>
      <c r="AV16" s="259"/>
    </row>
    <row r="17" spans="1:48" ht="15" customHeight="1" x14ac:dyDescent="0.25">
      <c r="A17" s="1" t="s">
        <v>218</v>
      </c>
      <c r="B17" s="67">
        <f t="shared" ref="B17" si="7">SUM(B11:B16)</f>
        <v>-48598</v>
      </c>
      <c r="C17" s="67">
        <f t="shared" ref="C17" si="8">SUM(C11:C16)</f>
        <v>-55673</v>
      </c>
      <c r="D17" s="67">
        <f t="shared" ref="D17" si="9">SUM(D11:D16)</f>
        <v>-53228</v>
      </c>
      <c r="E17" s="67">
        <f t="shared" ref="E17" si="10">SUM(E11:E16)</f>
        <v>-55022</v>
      </c>
      <c r="F17" s="72">
        <f t="shared" ref="F17" si="11">SUM(F11:F16)</f>
        <v>-212521</v>
      </c>
      <c r="G17" s="67">
        <f t="shared" ref="G17" si="12">SUM(G11:G16)</f>
        <v>-59278</v>
      </c>
      <c r="H17" s="67">
        <f t="shared" ref="H17" si="13">SUM(H11:H16)</f>
        <v>-64683</v>
      </c>
      <c r="I17" s="67">
        <f t="shared" ref="I17" si="14">SUM(I11:I16)</f>
        <v>-61170</v>
      </c>
      <c r="J17" s="67">
        <f t="shared" ref="J17" si="15">SUM(J11:J16)</f>
        <v>-72985</v>
      </c>
      <c r="K17" s="72">
        <f t="shared" ref="K17" si="16">SUM(K11:K16)</f>
        <v>-258114</v>
      </c>
      <c r="L17" s="67">
        <f t="shared" ref="L17" si="17">SUM(L11:L16)</f>
        <v>-79000</v>
      </c>
      <c r="M17" s="67">
        <f t="shared" ref="M17" si="18">SUM(M11:M16)</f>
        <v>-85824</v>
      </c>
      <c r="N17" s="67">
        <f t="shared" ref="N17" si="19">SUM(N11:N16)</f>
        <v>-80120</v>
      </c>
      <c r="O17" s="67">
        <f t="shared" ref="O17" si="20">SUM(O11:O16)</f>
        <v>-82403</v>
      </c>
      <c r="P17" s="133">
        <f t="shared" ref="P17" si="21">SUM(P11:P16)</f>
        <v>-327347</v>
      </c>
      <c r="Q17" s="67">
        <f t="shared" ref="Q17:U17" si="22">SUM(Q11:Q16)</f>
        <v>-83177</v>
      </c>
      <c r="R17" s="67">
        <f t="shared" si="22"/>
        <v>-79282</v>
      </c>
      <c r="S17" s="67">
        <f t="shared" si="22"/>
        <v>-79049</v>
      </c>
      <c r="T17" s="67">
        <f t="shared" si="22"/>
        <v>-83094</v>
      </c>
      <c r="U17" s="133">
        <f t="shared" si="22"/>
        <v>-324603</v>
      </c>
      <c r="V17" s="67">
        <f t="shared" ref="V17:Z17" si="23">SUM(V11:V16)</f>
        <v>-82882</v>
      </c>
      <c r="W17" s="67">
        <f t="shared" si="23"/>
        <v>-84455</v>
      </c>
      <c r="X17" s="67">
        <f t="shared" si="23"/>
        <v>-77207</v>
      </c>
      <c r="Y17" s="67">
        <f t="shared" si="23"/>
        <v>-77625</v>
      </c>
      <c r="Z17" s="133">
        <f t="shared" si="23"/>
        <v>-322169</v>
      </c>
      <c r="AA17" s="67">
        <f t="shared" ref="AA17:AE17" si="24">SUM(AA11:AA16)</f>
        <v>-75900</v>
      </c>
      <c r="AB17" s="67">
        <f t="shared" si="24"/>
        <v>-69478</v>
      </c>
      <c r="AC17" s="67">
        <f t="shared" si="24"/>
        <v>-70835</v>
      </c>
      <c r="AD17" s="67">
        <f t="shared" si="24"/>
        <v>-75468</v>
      </c>
      <c r="AE17" s="133">
        <f t="shared" si="24"/>
        <v>-291681</v>
      </c>
      <c r="AF17" s="67">
        <f t="shared" ref="AF17:AJ17" si="25">SUM(AF11:AF16)</f>
        <v>-65611</v>
      </c>
      <c r="AG17" s="67">
        <f t="shared" si="25"/>
        <v>-71809</v>
      </c>
      <c r="AH17" s="67">
        <f t="shared" si="25"/>
        <v>-68253</v>
      </c>
      <c r="AI17" s="67">
        <f t="shared" si="25"/>
        <v>-82553</v>
      </c>
      <c r="AJ17" s="133">
        <f t="shared" si="25"/>
        <v>-288226</v>
      </c>
      <c r="AK17" s="67">
        <f t="shared" ref="AK17" si="26">SUM(AK11:AK16)</f>
        <v>-82326</v>
      </c>
      <c r="AL17" s="68">
        <f>SUM(AL11:AL16)</f>
        <v>-88741</v>
      </c>
      <c r="AM17" s="67">
        <f>SUM(AM11:AM16)</f>
        <v>-82529</v>
      </c>
      <c r="AN17" s="67">
        <f t="shared" ref="AN17:AO17" si="27">SUM(AN11:AN16)</f>
        <v>-90572</v>
      </c>
      <c r="AO17" s="133">
        <f t="shared" si="27"/>
        <v>-344168</v>
      </c>
      <c r="AP17" s="67">
        <f>SUM(AP11:AP16)</f>
        <v>-88924</v>
      </c>
      <c r="AQ17" s="284">
        <f>SUM(AQ11:AQ16)</f>
        <v>-90071</v>
      </c>
      <c r="AR17" s="67">
        <f>SUM(AR11:AR16)</f>
        <v>-85296</v>
      </c>
      <c r="AS17" s="67">
        <f>SUM(AS11:AS16)</f>
        <v>-86947</v>
      </c>
      <c r="AT17" s="133">
        <f t="shared" ref="AT17" si="28">SUM(AT11:AT16)</f>
        <v>-351238</v>
      </c>
      <c r="AU17" s="67">
        <f>SUM(AU11:AU16)</f>
        <v>-83362</v>
      </c>
      <c r="AV17" s="314"/>
    </row>
    <row r="18" spans="1:48" ht="15" customHeight="1" x14ac:dyDescent="0.25">
      <c r="A18" s="1" t="s">
        <v>219</v>
      </c>
      <c r="B18" s="69">
        <f>'P&amp;L'!B16</f>
        <v>-17546</v>
      </c>
      <c r="C18" s="69">
        <f>'P&amp;L'!C16</f>
        <v>-20404</v>
      </c>
      <c r="D18" s="69">
        <f>'P&amp;L'!D16</f>
        <v>-19915</v>
      </c>
      <c r="E18" s="69">
        <f>'P&amp;L'!E16</f>
        <v>-21280</v>
      </c>
      <c r="F18" s="73">
        <f>'P&amp;L'!F16</f>
        <v>-79145</v>
      </c>
      <c r="G18" s="69">
        <f>'P&amp;L'!G16</f>
        <v>-24737</v>
      </c>
      <c r="H18" s="69">
        <f>'P&amp;L'!H16</f>
        <v>-28610</v>
      </c>
      <c r="I18" s="69">
        <f>'P&amp;L'!I16</f>
        <v>-32492</v>
      </c>
      <c r="J18" s="69">
        <f>'P&amp;L'!J16</f>
        <v>-31630</v>
      </c>
      <c r="K18" s="73">
        <f>'P&amp;L'!K16</f>
        <v>-117469</v>
      </c>
      <c r="L18" s="69">
        <f>'P&amp;L'!L16</f>
        <v>-31516</v>
      </c>
      <c r="M18" s="69">
        <f>'P&amp;L'!M16</f>
        <v>-32239</v>
      </c>
      <c r="N18" s="69">
        <f>'P&amp;L'!N16</f>
        <v>-32389</v>
      </c>
      <c r="O18" s="69">
        <f>'P&amp;L'!O16</f>
        <v>-30934</v>
      </c>
      <c r="P18" s="135">
        <f>'P&amp;L'!P16</f>
        <v>-127077</v>
      </c>
      <c r="Q18" s="69">
        <f>'P&amp;L'!Q16</f>
        <v>-34591</v>
      </c>
      <c r="R18" s="69">
        <f>'P&amp;L'!R16</f>
        <v>-35644</v>
      </c>
      <c r="S18" s="69">
        <f>'P&amp;L'!S16</f>
        <v>-32463</v>
      </c>
      <c r="T18" s="69">
        <f>'P&amp;L'!T16</f>
        <v>-32461</v>
      </c>
      <c r="U18" s="135">
        <f>'P&amp;L'!U16</f>
        <v>-135159</v>
      </c>
      <c r="V18" s="69">
        <f>'P&amp;L'!V16</f>
        <v>-33770</v>
      </c>
      <c r="W18" s="69">
        <f>'P&amp;L'!W16</f>
        <v>-35767</v>
      </c>
      <c r="X18" s="69">
        <f>'P&amp;L'!X16</f>
        <v>-32835</v>
      </c>
      <c r="Y18" s="69">
        <f>'P&amp;L'!Y16</f>
        <v>-37382</v>
      </c>
      <c r="Z18" s="135">
        <f>'P&amp;L'!Z16</f>
        <v>-139754</v>
      </c>
      <c r="AA18" s="69">
        <f>'P&amp;L'!AA16</f>
        <v>-25915</v>
      </c>
      <c r="AB18" s="69">
        <f>'P&amp;L'!AB16</f>
        <v>-29185</v>
      </c>
      <c r="AC18" s="69">
        <f>'P&amp;L'!AC16</f>
        <v>-28672</v>
      </c>
      <c r="AD18" s="69">
        <f>'P&amp;L'!AD16</f>
        <v>-32623</v>
      </c>
      <c r="AE18" s="135">
        <f>'P&amp;L'!AE16</f>
        <v>-116395</v>
      </c>
      <c r="AF18" s="69">
        <f>'P&amp;L'!AF16</f>
        <v>-33428</v>
      </c>
      <c r="AG18" s="69">
        <f>'P&amp;L'!AG16</f>
        <v>-40474</v>
      </c>
      <c r="AH18" s="69">
        <f>'P&amp;L'!AH16</f>
        <v>-34877</v>
      </c>
      <c r="AI18" s="69">
        <f>'P&amp;L'!AI16</f>
        <v>-43855</v>
      </c>
      <c r="AJ18" s="135">
        <f>'P&amp;L'!AJ16</f>
        <v>-152634</v>
      </c>
      <c r="AK18" s="69">
        <f>'P&amp;L'!AK16</f>
        <v>-33336</v>
      </c>
      <c r="AL18" s="69">
        <f>'P&amp;L'!AL16</f>
        <v>-100672</v>
      </c>
      <c r="AM18" s="69">
        <f>'P&amp;L'!AM16</f>
        <v>-42353</v>
      </c>
      <c r="AN18" s="69">
        <f>'P&amp;L'!AN16</f>
        <v>-28969</v>
      </c>
      <c r="AO18" s="135">
        <f>'P&amp;L'!AO16</f>
        <v>-205330</v>
      </c>
      <c r="AP18" s="69">
        <f>'P&amp;L'!AP16</f>
        <v>-40170</v>
      </c>
      <c r="AQ18" s="285">
        <f>'P&amp;L'!AQ16</f>
        <v>-18537</v>
      </c>
      <c r="AR18" s="69">
        <f>'P&amp;L'!AR16</f>
        <v>-36599</v>
      </c>
      <c r="AS18" s="69">
        <f>'P&amp;L'!AS16</f>
        <v>-42219</v>
      </c>
      <c r="AT18" s="135">
        <f>'P&amp;L'!AT16</f>
        <v>-137525</v>
      </c>
      <c r="AU18" s="69">
        <f>'P&amp;L'!AU16</f>
        <v>-47169</v>
      </c>
      <c r="AV18" s="314"/>
    </row>
    <row r="19" spans="1:48" ht="15" customHeight="1" x14ac:dyDescent="0.25">
      <c r="A19" s="16" t="s">
        <v>198</v>
      </c>
      <c r="B19" s="37">
        <f>'Reconciliation Adj EBITDA'!B11</f>
        <v>1385</v>
      </c>
      <c r="C19" s="37">
        <f>'Reconciliation Adj EBITDA'!C11</f>
        <v>1260</v>
      </c>
      <c r="D19" s="37">
        <f>'Reconciliation Adj EBITDA'!D11</f>
        <v>1171</v>
      </c>
      <c r="E19" s="37">
        <f>'Reconciliation Adj EBITDA'!E11</f>
        <v>1975</v>
      </c>
      <c r="F19" s="48">
        <f>'Reconciliation Adj EBITDA'!F11</f>
        <v>5791</v>
      </c>
      <c r="G19" s="37">
        <f>'Reconciliation Adj EBITDA'!G11</f>
        <v>2578</v>
      </c>
      <c r="H19" s="37">
        <f>'Reconciliation Adj EBITDA'!H11</f>
        <v>3028</v>
      </c>
      <c r="I19" s="37">
        <f>'Reconciliation Adj EBITDA'!I11</f>
        <v>4155</v>
      </c>
      <c r="J19" s="37">
        <f>'Reconciliation Adj EBITDA'!J11</f>
        <v>4553</v>
      </c>
      <c r="K19" s="48">
        <f>'Reconciliation Adj EBITDA'!K11</f>
        <v>14313</v>
      </c>
      <c r="L19" s="37">
        <f>'Reconciliation Adj EBITDA'!L11</f>
        <v>4314</v>
      </c>
      <c r="M19" s="37">
        <f>'Reconciliation Adj EBITDA'!M11</f>
        <v>4056</v>
      </c>
      <c r="N19" s="37">
        <f>'Reconciliation Adj EBITDA'!N11</f>
        <v>5770</v>
      </c>
      <c r="O19" s="37">
        <f>'Reconciliation Adj EBITDA'!O11</f>
        <v>5732</v>
      </c>
      <c r="P19" s="100">
        <f>'Reconciliation Adj EBITDA'!P11</f>
        <v>19872</v>
      </c>
      <c r="Q19" s="37">
        <f>'Reconciliation Adj EBITDA'!Q11</f>
        <v>6916</v>
      </c>
      <c r="R19" s="37">
        <f>'Reconciliation Adj EBITDA'!R11</f>
        <v>4806</v>
      </c>
      <c r="S19" s="37">
        <f>'Reconciliation Adj EBITDA'!S11</f>
        <v>5408</v>
      </c>
      <c r="T19" s="37">
        <f>'Reconciliation Adj EBITDA'!T11</f>
        <v>-531</v>
      </c>
      <c r="U19" s="100">
        <f>'Reconciliation Adj EBITDA'!U11</f>
        <v>16600</v>
      </c>
      <c r="V19" s="37">
        <f>'Reconciliation Adj EBITDA'!V11</f>
        <v>3656</v>
      </c>
      <c r="W19" s="37">
        <f>'Reconciliation Adj EBITDA'!W11</f>
        <v>4495</v>
      </c>
      <c r="X19" s="37">
        <f>'Reconciliation Adj EBITDA'!X11</f>
        <v>4142</v>
      </c>
      <c r="Y19" s="37">
        <f>'Reconciliation Adj EBITDA'!Y11</f>
        <v>2502</v>
      </c>
      <c r="Z19" s="100">
        <f>'Reconciliation Adj EBITDA'!Z11</f>
        <v>14795</v>
      </c>
      <c r="AA19" s="37">
        <f>'Reconciliation Adj EBITDA'!AA11</f>
        <v>2515</v>
      </c>
      <c r="AB19" s="37">
        <f>'Reconciliation Adj EBITDA'!AB11</f>
        <v>3519</v>
      </c>
      <c r="AC19" s="37">
        <f>'Reconciliation Adj EBITDA'!AC11</f>
        <v>280</v>
      </c>
      <c r="AD19" s="37">
        <f>'Reconciliation Adj EBITDA'!AD11</f>
        <v>2816</v>
      </c>
      <c r="AE19" s="100">
        <f>'Reconciliation Adj EBITDA'!AE11</f>
        <v>9130</v>
      </c>
      <c r="AF19" s="37">
        <f>'Reconciliation Adj EBITDA'!AF11</f>
        <v>3017</v>
      </c>
      <c r="AG19" s="37">
        <f>'Reconciliation Adj EBITDA'!AG11</f>
        <v>3815</v>
      </c>
      <c r="AH19" s="37">
        <f>'Reconciliation Adj EBITDA'!AH11</f>
        <v>4557</v>
      </c>
      <c r="AI19" s="37">
        <f>'Reconciliation Adj EBITDA'!AI11</f>
        <v>4209</v>
      </c>
      <c r="AJ19" s="100">
        <f>'Reconciliation Adj EBITDA'!AJ11</f>
        <v>15598</v>
      </c>
      <c r="AK19" s="37">
        <f>'Reconciliation Adj EBITDA'!AK11</f>
        <v>2955</v>
      </c>
      <c r="AL19" s="37">
        <f>'Reconciliation Adj EBITDA'!AL11</f>
        <v>3892</v>
      </c>
      <c r="AM19" s="37">
        <f>'Reconciliation Adj EBITDA'!AM11</f>
        <v>4886</v>
      </c>
      <c r="AN19" s="37">
        <f>'Reconciliation Adj EBITDA'!AN11</f>
        <v>2588</v>
      </c>
      <c r="AO19" s="100">
        <f>'Reconciliation Adj EBITDA'!AO11</f>
        <v>14321</v>
      </c>
      <c r="AP19" s="37">
        <f>'Reconciliation Adj EBITDA'!AP11</f>
        <v>4989</v>
      </c>
      <c r="AQ19" s="259">
        <f>'Reconciliation Adj EBITDA'!AQ11</f>
        <v>5805</v>
      </c>
      <c r="AR19" s="37">
        <f>'Reconciliation Adj EBITDA'!AR11</f>
        <v>5998</v>
      </c>
      <c r="AS19" s="37">
        <f>'Reconciliation Adj EBITDA'!AS11</f>
        <v>5719</v>
      </c>
      <c r="AT19" s="100">
        <f>'Reconciliation Adj EBITDA'!AT11</f>
        <v>22511</v>
      </c>
      <c r="AU19" s="37">
        <f>'Reconciliation Adj EBITDA'!AU11</f>
        <v>6971</v>
      </c>
      <c r="AV19" s="259"/>
    </row>
    <row r="20" spans="1:48" ht="15" customHeight="1" x14ac:dyDescent="0.25">
      <c r="A20" s="16" t="s">
        <v>215</v>
      </c>
      <c r="B20" s="37">
        <f>'Reconciliation Adj EBITDA'!B20</f>
        <v>321</v>
      </c>
      <c r="C20" s="37">
        <f>'Reconciliation Adj EBITDA'!C20</f>
        <v>376</v>
      </c>
      <c r="D20" s="37">
        <f>'Reconciliation Adj EBITDA'!D20</f>
        <v>369</v>
      </c>
      <c r="E20" s="37">
        <f>'Reconciliation Adj EBITDA'!E20</f>
        <v>461</v>
      </c>
      <c r="F20" s="48">
        <f>'Reconciliation Adj EBITDA'!F20</f>
        <v>1526</v>
      </c>
      <c r="G20" s="37">
        <f>'Reconciliation Adj EBITDA'!G20</f>
        <v>518</v>
      </c>
      <c r="H20" s="37">
        <f>'Reconciliation Adj EBITDA'!H20</f>
        <v>604</v>
      </c>
      <c r="I20" s="37">
        <f>'Reconciliation Adj EBITDA'!I20</f>
        <v>912</v>
      </c>
      <c r="J20" s="37">
        <f>'Reconciliation Adj EBITDA'!J20</f>
        <v>1308</v>
      </c>
      <c r="K20" s="48">
        <f>'Reconciliation Adj EBITDA'!K20</f>
        <v>3342</v>
      </c>
      <c r="L20" s="37">
        <f>'Reconciliation Adj EBITDA'!L20</f>
        <v>1171</v>
      </c>
      <c r="M20" s="37">
        <f>'Reconciliation Adj EBITDA'!M20</f>
        <v>1286</v>
      </c>
      <c r="N20" s="37">
        <f>'Reconciliation Adj EBITDA'!N20</f>
        <v>1511</v>
      </c>
      <c r="O20" s="37">
        <f>'Reconciliation Adj EBITDA'!O20</f>
        <v>1770</v>
      </c>
      <c r="P20" s="100">
        <f>'Reconciliation Adj EBITDA'!P20</f>
        <v>5738</v>
      </c>
      <c r="Q20" s="37">
        <f>'Reconciliation Adj EBITDA'!Q20</f>
        <v>1722</v>
      </c>
      <c r="R20" s="37">
        <f>'Reconciliation Adj EBITDA'!R20</f>
        <v>1747</v>
      </c>
      <c r="S20" s="37">
        <f>'Reconciliation Adj EBITDA'!S20</f>
        <v>1882</v>
      </c>
      <c r="T20" s="37">
        <f>'Reconciliation Adj EBITDA'!T20</f>
        <v>1955</v>
      </c>
      <c r="U20" s="100">
        <f>'Reconciliation Adj EBITDA'!U20</f>
        <v>7306</v>
      </c>
      <c r="V20" s="37">
        <f>'Reconciliation Adj EBITDA'!V20</f>
        <v>1820</v>
      </c>
      <c r="W20" s="37">
        <f>'Reconciliation Adj EBITDA'!W20</f>
        <v>1825</v>
      </c>
      <c r="X20" s="37">
        <f>'Reconciliation Adj EBITDA'!X20</f>
        <v>1768</v>
      </c>
      <c r="Y20" s="37">
        <f>'Reconciliation Adj EBITDA'!Y20</f>
        <v>1787</v>
      </c>
      <c r="Z20" s="100">
        <f>'Reconciliation Adj EBITDA'!Z20</f>
        <v>7200</v>
      </c>
      <c r="AA20" s="37">
        <f>'Reconciliation Adj EBITDA'!AA20</f>
        <v>1377</v>
      </c>
      <c r="AB20" s="37">
        <f>'Reconciliation Adj EBITDA'!AB20</f>
        <v>1231</v>
      </c>
      <c r="AC20" s="37">
        <f>'Reconciliation Adj EBITDA'!AC20</f>
        <v>1143</v>
      </c>
      <c r="AD20" s="37">
        <f>'Reconciliation Adj EBITDA'!AD20</f>
        <v>1041</v>
      </c>
      <c r="AE20" s="100">
        <f>'Reconciliation Adj EBITDA'!AE20</f>
        <v>4792</v>
      </c>
      <c r="AF20" s="37">
        <f>'Reconciliation Adj EBITDA'!AF20</f>
        <v>903</v>
      </c>
      <c r="AG20" s="37">
        <f>'Reconciliation Adj EBITDA'!AG20</f>
        <v>838</v>
      </c>
      <c r="AH20" s="37">
        <f>'Reconciliation Adj EBITDA'!AH20</f>
        <v>679</v>
      </c>
      <c r="AI20" s="37">
        <f>'Reconciliation Adj EBITDA'!AI20</f>
        <v>599</v>
      </c>
      <c r="AJ20" s="100">
        <f>'Reconciliation Adj EBITDA'!AJ20</f>
        <v>3019</v>
      </c>
      <c r="AK20" s="37">
        <f>'Reconciliation Adj EBITDA'!AK20</f>
        <v>610</v>
      </c>
      <c r="AL20" s="37">
        <f>'Reconciliation Adj EBITDA'!AL20</f>
        <v>606</v>
      </c>
      <c r="AM20" s="37">
        <f>'Reconciliation Adj EBITDA'!AM20</f>
        <v>563</v>
      </c>
      <c r="AN20" s="37">
        <f>'Reconciliation Adj EBITDA'!AN20</f>
        <v>-925</v>
      </c>
      <c r="AO20" s="100">
        <f>'Reconciliation Adj EBITDA'!AO20</f>
        <v>854</v>
      </c>
      <c r="AP20" s="37">
        <f>'Reconciliation Adj EBITDA'!AP20</f>
        <v>520</v>
      </c>
      <c r="AQ20" s="259">
        <f>'Reconciliation Adj EBITDA'!AQ20</f>
        <v>566</v>
      </c>
      <c r="AR20" s="37">
        <f>'Reconciliation Adj EBITDA'!AR20</f>
        <v>564</v>
      </c>
      <c r="AS20" s="37">
        <f>'Reconciliation Adj EBITDA'!AS20</f>
        <v>477</v>
      </c>
      <c r="AT20" s="100">
        <f>'Reconciliation Adj EBITDA'!AT20</f>
        <v>2127</v>
      </c>
      <c r="AU20" s="37">
        <f>'Reconciliation Adj EBITDA'!AU20</f>
        <v>453</v>
      </c>
      <c r="AV20" s="259"/>
    </row>
    <row r="21" spans="1:48" ht="15" customHeight="1" x14ac:dyDescent="0.25">
      <c r="A21" s="16" t="s">
        <v>202</v>
      </c>
      <c r="B21" s="37">
        <f>'Reconciliation Adj EBITDA'!B15</f>
        <v>31</v>
      </c>
      <c r="C21" s="37">
        <f>'Reconciliation Adj EBITDA'!C15</f>
        <v>31</v>
      </c>
      <c r="D21" s="37">
        <f>'Reconciliation Adj EBITDA'!D15</f>
        <v>32</v>
      </c>
      <c r="E21" s="37">
        <f>'Reconciliation Adj EBITDA'!E15</f>
        <v>31</v>
      </c>
      <c r="F21" s="48">
        <f>'Reconciliation Adj EBITDA'!F15</f>
        <v>125</v>
      </c>
      <c r="G21" s="37">
        <f>'Reconciliation Adj EBITDA'!G15</f>
        <v>43</v>
      </c>
      <c r="H21" s="37">
        <f>'Reconciliation Adj EBITDA'!H15</f>
        <v>43</v>
      </c>
      <c r="I21" s="37">
        <f>'Reconciliation Adj EBITDA'!I15</f>
        <v>39</v>
      </c>
      <c r="J21" s="37">
        <f>'Reconciliation Adj EBITDA'!J15</f>
        <v>44</v>
      </c>
      <c r="K21" s="48">
        <f>'Reconciliation Adj EBITDA'!K15</f>
        <v>169</v>
      </c>
      <c r="L21" s="37">
        <f>'Reconciliation Adj EBITDA'!L15</f>
        <v>85</v>
      </c>
      <c r="M21" s="37">
        <f>'Reconciliation Adj EBITDA'!M15</f>
        <v>88</v>
      </c>
      <c r="N21" s="37">
        <f>'Reconciliation Adj EBITDA'!N15</f>
        <v>94</v>
      </c>
      <c r="O21" s="37">
        <f>'Reconciliation Adj EBITDA'!O15</f>
        <v>96</v>
      </c>
      <c r="P21" s="100">
        <f>'Reconciliation Adj EBITDA'!P15</f>
        <v>363</v>
      </c>
      <c r="Q21" s="37">
        <f>'Reconciliation Adj EBITDA'!Q15</f>
        <v>135</v>
      </c>
      <c r="R21" s="37">
        <f>'Reconciliation Adj EBITDA'!R15</f>
        <v>132</v>
      </c>
      <c r="S21" s="37">
        <f>'Reconciliation Adj EBITDA'!S15</f>
        <v>128</v>
      </c>
      <c r="T21" s="37">
        <f>'Reconciliation Adj EBITDA'!T15</f>
        <v>127</v>
      </c>
      <c r="U21" s="100">
        <f>'Reconciliation Adj EBITDA'!U15</f>
        <v>522</v>
      </c>
      <c r="V21" s="37">
        <f>'Reconciliation Adj EBITDA'!V15</f>
        <v>129</v>
      </c>
      <c r="W21" s="37">
        <f>'Reconciliation Adj EBITDA'!W15</f>
        <v>129</v>
      </c>
      <c r="X21" s="37">
        <f>'Reconciliation Adj EBITDA'!X15</f>
        <v>129</v>
      </c>
      <c r="Y21" s="37">
        <f>'Reconciliation Adj EBITDA'!Y15</f>
        <v>126</v>
      </c>
      <c r="Z21" s="100">
        <f>'Reconciliation Adj EBITDA'!Z15</f>
        <v>513</v>
      </c>
      <c r="AA21" s="37">
        <f>'Reconciliation Adj EBITDA'!AA15</f>
        <v>174</v>
      </c>
      <c r="AB21" s="37">
        <f>'Reconciliation Adj EBITDA'!AB15</f>
        <v>175</v>
      </c>
      <c r="AC21" s="37">
        <f>'Reconciliation Adj EBITDA'!AC15</f>
        <v>185</v>
      </c>
      <c r="AD21" s="37">
        <f>'Reconciliation Adj EBITDA'!AD15</f>
        <v>190</v>
      </c>
      <c r="AE21" s="100">
        <f>'Reconciliation Adj EBITDA'!AE15</f>
        <v>724</v>
      </c>
      <c r="AF21" s="37">
        <f>'Reconciliation Adj EBITDA'!AF15</f>
        <v>110</v>
      </c>
      <c r="AG21" s="37">
        <f>'Reconciliation Adj EBITDA'!AG15</f>
        <v>109</v>
      </c>
      <c r="AH21" s="37">
        <f>'Reconciliation Adj EBITDA'!AH15</f>
        <v>108</v>
      </c>
      <c r="AI21" s="37">
        <f>'Reconciliation Adj EBITDA'!AI15</f>
        <v>104</v>
      </c>
      <c r="AJ21" s="100">
        <f>'Reconciliation Adj EBITDA'!AJ15</f>
        <v>431</v>
      </c>
      <c r="AK21" s="37">
        <f>'Reconciliation Adj EBITDA'!AK15</f>
        <v>93</v>
      </c>
      <c r="AL21" s="37">
        <f>'Reconciliation Adj EBITDA'!AL15</f>
        <v>89</v>
      </c>
      <c r="AM21" s="37">
        <f>'Reconciliation Adj EBITDA'!AM15</f>
        <v>77</v>
      </c>
      <c r="AN21" s="37">
        <f>'Reconciliation Adj EBITDA'!AN15</f>
        <v>267</v>
      </c>
      <c r="AO21" s="100">
        <f>'Reconciliation Adj EBITDA'!AO15</f>
        <v>526</v>
      </c>
      <c r="AP21" s="37">
        <f>'Reconciliation Adj EBITDA'!AP15</f>
        <v>56</v>
      </c>
      <c r="AQ21" s="259">
        <f>'Reconciliation Adj EBITDA'!AQ15</f>
        <v>56</v>
      </c>
      <c r="AR21" s="37">
        <f>'Reconciliation Adj EBITDA'!AR15</f>
        <v>56</v>
      </c>
      <c r="AS21" s="37">
        <f>'Reconciliation Adj EBITDA'!AS15</f>
        <v>19</v>
      </c>
      <c r="AT21" s="100">
        <f>'Reconciliation Adj EBITDA'!AT15</f>
        <v>187</v>
      </c>
      <c r="AU21" s="37">
        <f>'Reconciliation Adj EBITDA'!AU15</f>
        <v>55</v>
      </c>
      <c r="AV21" s="259"/>
    </row>
    <row r="22" spans="1:48" ht="15" customHeight="1" x14ac:dyDescent="0.25">
      <c r="A22" s="16" t="s">
        <v>205</v>
      </c>
      <c r="B22" s="37">
        <f>'Reconciliation Adj EBITDA'!B23</f>
        <v>0</v>
      </c>
      <c r="C22" s="37">
        <f>'Reconciliation Adj EBITDA'!C23</f>
        <v>0</v>
      </c>
      <c r="D22" s="37">
        <f>'Reconciliation Adj EBITDA'!D23</f>
        <v>0</v>
      </c>
      <c r="E22" s="37">
        <f>'Reconciliation Adj EBITDA'!E23</f>
        <v>0</v>
      </c>
      <c r="F22" s="48">
        <f>'Reconciliation Adj EBITDA'!F23</f>
        <v>0</v>
      </c>
      <c r="G22" s="37">
        <f>'Reconciliation Adj EBITDA'!G23</f>
        <v>0</v>
      </c>
      <c r="H22" s="37">
        <f>'Reconciliation Adj EBITDA'!H23</f>
        <v>148</v>
      </c>
      <c r="I22" s="37">
        <f>'Reconciliation Adj EBITDA'!I23</f>
        <v>1793</v>
      </c>
      <c r="J22" s="37">
        <f>'Reconciliation Adj EBITDA'!J23</f>
        <v>980</v>
      </c>
      <c r="K22" s="48">
        <f>'Reconciliation Adj EBITDA'!K23</f>
        <v>2921</v>
      </c>
      <c r="L22" s="37">
        <f>'Reconciliation Adj EBITDA'!L23</f>
        <v>6</v>
      </c>
      <c r="M22" s="37">
        <f>'Reconciliation Adj EBITDA'!M23</f>
        <v>0</v>
      </c>
      <c r="N22" s="37">
        <f>'Reconciliation Adj EBITDA'!N23</f>
        <v>0</v>
      </c>
      <c r="O22" s="37">
        <f>'Reconciliation Adj EBITDA'!O23</f>
        <v>0</v>
      </c>
      <c r="P22" s="100">
        <f>'Reconciliation Adj EBITDA'!P23</f>
        <v>6</v>
      </c>
      <c r="Q22" s="37">
        <f>'Reconciliation Adj EBITDA'!Q23</f>
        <v>0</v>
      </c>
      <c r="R22" s="37">
        <f>'Reconciliation Adj EBITDA'!R23</f>
        <v>0</v>
      </c>
      <c r="S22" s="37">
        <f>'Reconciliation Adj EBITDA'!S23</f>
        <v>516</v>
      </c>
      <c r="T22" s="37">
        <f>'Reconciliation Adj EBITDA'!T23</f>
        <v>1222</v>
      </c>
      <c r="U22" s="100">
        <f>'Reconciliation Adj EBITDA'!U23</f>
        <v>1738</v>
      </c>
      <c r="V22" s="37">
        <f>'Reconciliation Adj EBITDA'!V23</f>
        <v>0</v>
      </c>
      <c r="W22" s="37">
        <f>'Reconciliation Adj EBITDA'!W23</f>
        <v>0</v>
      </c>
      <c r="X22" s="37">
        <f>'Reconciliation Adj EBITDA'!X23</f>
        <v>0</v>
      </c>
      <c r="Y22" s="37">
        <f>'Reconciliation Adj EBITDA'!Y23</f>
        <v>0</v>
      </c>
      <c r="Z22" s="100">
        <f>'Reconciliation Adj EBITDA'!Z23</f>
        <v>0</v>
      </c>
      <c r="AA22" s="37">
        <f>'Reconciliation Adj EBITDA'!AA23</f>
        <v>0</v>
      </c>
      <c r="AB22" s="37">
        <f>'Reconciliation Adj EBITDA'!AB23</f>
        <v>0</v>
      </c>
      <c r="AC22" s="37">
        <f>'Reconciliation Adj EBITDA'!AC23</f>
        <v>112</v>
      </c>
      <c r="AD22" s="37">
        <f>'Reconciliation Adj EBITDA'!AD23</f>
        <v>174</v>
      </c>
      <c r="AE22" s="100">
        <f>'Reconciliation Adj EBITDA'!AE23</f>
        <v>286</v>
      </c>
      <c r="AF22" s="37">
        <f>'Reconciliation Adj EBITDA'!AF23</f>
        <v>0</v>
      </c>
      <c r="AG22" s="37">
        <f>'Reconciliation Adj EBITDA'!AG23</f>
        <v>3047</v>
      </c>
      <c r="AH22" s="37">
        <f>'Reconciliation Adj EBITDA'!AH23</f>
        <v>2091</v>
      </c>
      <c r="AI22" s="37">
        <f>'Reconciliation Adj EBITDA'!AI23</f>
        <v>6118</v>
      </c>
      <c r="AJ22" s="100">
        <f>'Reconciliation Adj EBITDA'!AJ23</f>
        <v>11256</v>
      </c>
      <c r="AK22" s="37">
        <f>'Reconciliation Adj EBITDA'!AK23</f>
        <v>2544</v>
      </c>
      <c r="AL22" s="37">
        <v>1799</v>
      </c>
      <c r="AM22" s="37">
        <f>'Reconciliation Adj EBITDA'!AM23</f>
        <v>6981</v>
      </c>
      <c r="AN22" s="37">
        <f>'Reconciliation Adj EBITDA'!AN23</f>
        <v>1095</v>
      </c>
      <c r="AO22" s="100">
        <f>'Reconciliation Adj EBITDA'!AO23</f>
        <v>12419</v>
      </c>
      <c r="AP22" s="306">
        <f>'Reconciliation Adj EBITDA'!AP23</f>
        <v>428</v>
      </c>
      <c r="AQ22" s="307">
        <v>263</v>
      </c>
      <c r="AR22" s="306">
        <f>'Reconciliation Adj EBITDA'!AR23</f>
        <v>82</v>
      </c>
      <c r="AS22" s="306">
        <f>'Reconciliation Adj EBITDA'!AS23</f>
        <v>616</v>
      </c>
      <c r="AT22" s="100">
        <f>'Reconciliation Adj EBITDA'!AT23</f>
        <v>1390</v>
      </c>
      <c r="AU22" s="306">
        <v>0</v>
      </c>
      <c r="AV22" s="259"/>
    </row>
    <row r="23" spans="1:48" ht="14.1" customHeight="1" x14ac:dyDescent="0.25">
      <c r="A23" s="16" t="s">
        <v>208</v>
      </c>
      <c r="B23" s="37">
        <f>'Reconciliation Adj EBITDA'!B33</f>
        <v>0</v>
      </c>
      <c r="C23" s="37">
        <f>'Reconciliation Adj EBITDA'!C33</f>
        <v>0</v>
      </c>
      <c r="D23" s="37">
        <f>'Reconciliation Adj EBITDA'!D33</f>
        <v>0</v>
      </c>
      <c r="E23" s="37">
        <f>'Reconciliation Adj EBITDA'!E33</f>
        <v>0</v>
      </c>
      <c r="F23" s="48">
        <f>'Reconciliation Adj EBITDA'!F33</f>
        <v>0</v>
      </c>
      <c r="G23" s="37">
        <f>'Reconciliation Adj EBITDA'!G33</f>
        <v>0</v>
      </c>
      <c r="H23" s="37">
        <f>'Reconciliation Adj EBITDA'!H33</f>
        <v>0</v>
      </c>
      <c r="I23" s="37">
        <f>'Reconciliation Adj EBITDA'!I33</f>
        <v>0</v>
      </c>
      <c r="J23" s="37">
        <f>'Reconciliation Adj EBITDA'!J33</f>
        <v>0</v>
      </c>
      <c r="K23" s="48">
        <f>'Reconciliation Adj EBITDA'!K33</f>
        <v>0</v>
      </c>
      <c r="L23" s="37">
        <f>'Reconciliation Adj EBITDA'!L33</f>
        <v>0</v>
      </c>
      <c r="M23" s="37">
        <f>'Reconciliation Adj EBITDA'!M33</f>
        <v>112</v>
      </c>
      <c r="N23" s="37">
        <f>'Reconciliation Adj EBITDA'!N33</f>
        <v>0</v>
      </c>
      <c r="O23" s="37">
        <f>'Reconciliation Adj EBITDA'!O33</f>
        <v>11</v>
      </c>
      <c r="P23" s="100">
        <f>'Reconciliation Adj EBITDA'!P33</f>
        <v>123</v>
      </c>
      <c r="Q23" s="37">
        <f>'Reconciliation Adj EBITDA'!Q33</f>
        <v>-11</v>
      </c>
      <c r="R23" s="37">
        <f>'Reconciliation Adj EBITDA'!R33</f>
        <v>0</v>
      </c>
      <c r="S23" s="37">
        <f>'Reconciliation Adj EBITDA'!S33</f>
        <v>0</v>
      </c>
      <c r="T23" s="37">
        <f>'Reconciliation Adj EBITDA'!T33</f>
        <v>0</v>
      </c>
      <c r="U23" s="100">
        <f>'Reconciliation Adj EBITDA'!U33</f>
        <v>-11</v>
      </c>
      <c r="V23" s="37">
        <f>'Reconciliation Adj EBITDA'!V33</f>
        <v>0</v>
      </c>
      <c r="W23" s="37">
        <f>'Reconciliation Adj EBITDA'!W33</f>
        <v>429</v>
      </c>
      <c r="X23" s="37">
        <f>'Reconciliation Adj EBITDA'!X33</f>
        <v>0</v>
      </c>
      <c r="Y23" s="37">
        <f>'Reconciliation Adj EBITDA'!Y33</f>
        <v>2343</v>
      </c>
      <c r="Z23" s="100">
        <f>'Reconciliation Adj EBITDA'!Z33</f>
        <v>2772</v>
      </c>
      <c r="AA23" s="37">
        <f>'Reconciliation Adj EBITDA'!AA33</f>
        <v>193</v>
      </c>
      <c r="AB23" s="37">
        <f>'Reconciliation Adj EBITDA'!AB33</f>
        <v>288</v>
      </c>
      <c r="AC23" s="37">
        <f>'Reconciliation Adj EBITDA'!AC33</f>
        <v>4839</v>
      </c>
      <c r="AD23" s="37">
        <f>'Reconciliation Adj EBITDA'!AD33</f>
        <v>1031</v>
      </c>
      <c r="AE23" s="100">
        <f>'Reconciliation Adj EBITDA'!AE33</f>
        <v>6351</v>
      </c>
      <c r="AF23" s="37">
        <f>'Reconciliation Adj EBITDA'!AF33</f>
        <v>2833</v>
      </c>
      <c r="AG23" s="37">
        <f>'Reconciliation Adj EBITDA'!AG33</f>
        <v>3614</v>
      </c>
      <c r="AH23" s="37">
        <f>'Reconciliation Adj EBITDA'!AH33</f>
        <v>-632</v>
      </c>
      <c r="AI23" s="37">
        <f>'Reconciliation Adj EBITDA'!AI33</f>
        <v>752</v>
      </c>
      <c r="AJ23" s="100">
        <f>'Reconciliation Adj EBITDA'!AJ33</f>
        <v>6567</v>
      </c>
      <c r="AK23" s="37">
        <f>'Reconciliation Adj EBITDA'!AK33</f>
        <v>245</v>
      </c>
      <c r="AL23" s="37">
        <f>'Reconciliation Adj EBITDA'!AL33</f>
        <v>820</v>
      </c>
      <c r="AM23" s="37">
        <f>'Reconciliation Adj EBITDA'!AM33</f>
        <v>596</v>
      </c>
      <c r="AN23" s="37">
        <v>3082</v>
      </c>
      <c r="AO23" s="100">
        <f>'Reconciliation Adj EBITDA'!AO33</f>
        <v>4743</v>
      </c>
      <c r="AP23" s="37">
        <f>'Reconciliation Adj EBITDA'!AP33</f>
        <v>3994</v>
      </c>
      <c r="AQ23" s="259">
        <f>'Reconciliation Adj EBITDA'!AQ33</f>
        <v>4429</v>
      </c>
      <c r="AR23" s="37">
        <f>'Reconciliation Adj EBITDA'!AR33</f>
        <v>4742</v>
      </c>
      <c r="AS23" s="37">
        <f>'Reconciliation Adj EBITDA'!AS33</f>
        <v>1786</v>
      </c>
      <c r="AT23" s="100">
        <f>'Reconciliation Adj EBITDA'!AT33</f>
        <v>14951</v>
      </c>
      <c r="AU23" s="37">
        <f>'Reconciliation Adj EBITDA'!AU33</f>
        <v>6978</v>
      </c>
    </row>
    <row r="24" spans="1:48" ht="14.1" customHeight="1" x14ac:dyDescent="0.25">
      <c r="A24" s="156" t="s">
        <v>207</v>
      </c>
      <c r="B24" s="37"/>
      <c r="C24" s="37"/>
      <c r="D24" s="37"/>
      <c r="E24" s="37"/>
      <c r="F24" s="48"/>
      <c r="G24" s="37"/>
      <c r="H24" s="37"/>
      <c r="I24" s="37"/>
      <c r="J24" s="37"/>
      <c r="K24" s="48"/>
      <c r="L24" s="37"/>
      <c r="M24" s="37"/>
      <c r="N24" s="37"/>
      <c r="O24" s="37"/>
      <c r="P24" s="100"/>
      <c r="Q24" s="37"/>
      <c r="R24" s="37"/>
      <c r="S24" s="37"/>
      <c r="T24" s="37"/>
      <c r="U24" s="100"/>
      <c r="V24" s="37"/>
      <c r="W24" s="37">
        <v>0</v>
      </c>
      <c r="X24" s="37">
        <v>0</v>
      </c>
      <c r="Y24" s="37">
        <v>0</v>
      </c>
      <c r="Z24" s="100">
        <v>0</v>
      </c>
      <c r="AA24" s="37">
        <v>0</v>
      </c>
      <c r="AB24" s="37">
        <v>0</v>
      </c>
      <c r="AC24" s="37">
        <v>0</v>
      </c>
      <c r="AD24" s="37">
        <v>0</v>
      </c>
      <c r="AE24" s="100">
        <v>0</v>
      </c>
      <c r="AF24" s="37">
        <v>0</v>
      </c>
      <c r="AG24" s="37">
        <v>0</v>
      </c>
      <c r="AH24" s="37">
        <v>0</v>
      </c>
      <c r="AI24" s="37">
        <v>0</v>
      </c>
      <c r="AJ24" s="100">
        <v>0</v>
      </c>
      <c r="AK24" s="37">
        <v>0</v>
      </c>
      <c r="AL24" s="37">
        <v>65684</v>
      </c>
      <c r="AM24" s="37">
        <v>-1764</v>
      </c>
      <c r="AN24" s="37">
        <v>-699</v>
      </c>
      <c r="AO24" s="100">
        <v>63221</v>
      </c>
      <c r="AP24" s="37">
        <v>0</v>
      </c>
      <c r="AQ24" s="259">
        <v>-21616</v>
      </c>
      <c r="AR24" s="37">
        <v>-51</v>
      </c>
      <c r="AS24" s="37">
        <f>'Reconciliation Adj EBITDA'!AS27</f>
        <v>35</v>
      </c>
      <c r="AT24" s="100">
        <f>'Reconciliation Adj EBITDA'!AT27</f>
        <v>-21632</v>
      </c>
      <c r="AU24" s="37">
        <v>0</v>
      </c>
      <c r="AV24" s="259"/>
    </row>
    <row r="25" spans="1:48" ht="15" hidden="1" customHeight="1" outlineLevel="1" x14ac:dyDescent="0.25">
      <c r="A25" s="16" t="s">
        <v>205</v>
      </c>
      <c r="B25" s="37">
        <f>'Reconciliation Adj EBITDA'!B26</f>
        <v>0</v>
      </c>
      <c r="C25" s="37">
        <f>'Reconciliation Adj EBITDA'!C26</f>
        <v>0</v>
      </c>
      <c r="D25" s="37">
        <f>'Reconciliation Adj EBITDA'!D26</f>
        <v>0</v>
      </c>
      <c r="E25" s="37">
        <f>'Reconciliation Adj EBITDA'!E26</f>
        <v>-2218</v>
      </c>
      <c r="F25" s="48">
        <f>'Reconciliation Adj EBITDA'!F26</f>
        <v>-2218</v>
      </c>
      <c r="G25" s="37">
        <f>'Reconciliation Adj EBITDA'!G26</f>
        <v>0</v>
      </c>
      <c r="H25" s="37">
        <f>'Reconciliation Adj EBITDA'!H26</f>
        <v>0</v>
      </c>
      <c r="I25" s="37">
        <f>'Reconciliation Adj EBITDA'!I26</f>
        <v>0</v>
      </c>
      <c r="J25" s="37">
        <f>'Reconciliation Adj EBITDA'!J26</f>
        <v>0</v>
      </c>
      <c r="K25" s="48">
        <f>'Reconciliation Adj EBITDA'!K26</f>
        <v>0</v>
      </c>
      <c r="L25" s="37">
        <f>'Reconciliation Adj EBITDA'!L26</f>
        <v>0</v>
      </c>
      <c r="M25" s="37">
        <f>'Reconciliation Adj EBITDA'!M26</f>
        <v>0</v>
      </c>
      <c r="N25" s="37">
        <f>'Reconciliation Adj EBITDA'!N26</f>
        <v>0</v>
      </c>
      <c r="O25" s="37">
        <f>'Reconciliation Adj EBITDA'!O26</f>
        <v>0</v>
      </c>
      <c r="P25" s="100">
        <f>'Reconciliation Adj EBITDA'!P26</f>
        <v>0</v>
      </c>
      <c r="Q25" s="37">
        <f>'Reconciliation Adj EBITDA'!Q26</f>
        <v>0</v>
      </c>
      <c r="R25" s="37">
        <f>'Reconciliation Adj EBITDA'!R26</f>
        <v>0</v>
      </c>
      <c r="S25" s="37">
        <f>'Reconciliation Adj EBITDA'!S26</f>
        <v>0</v>
      </c>
      <c r="T25" s="37">
        <f>'Reconciliation Adj EBITDA'!T26</f>
        <v>0</v>
      </c>
      <c r="U25" s="100">
        <f>'Reconciliation Adj EBITDA'!U26</f>
        <v>0</v>
      </c>
      <c r="V25" s="37">
        <f>'Reconciliation Adj EBITDA'!V26</f>
        <v>0</v>
      </c>
      <c r="W25" s="37">
        <f>'Reconciliation Adj EBITDA'!W26</f>
        <v>0</v>
      </c>
      <c r="X25" s="37">
        <f>'Reconciliation Adj EBITDA'!X26</f>
        <v>0</v>
      </c>
      <c r="Y25" s="37">
        <f>'Reconciliation Adj EBITDA'!Y26</f>
        <v>0</v>
      </c>
      <c r="Z25" s="100">
        <f>'Reconciliation Adj EBITDA'!Z26</f>
        <v>0</v>
      </c>
      <c r="AA25" s="37">
        <f>'Reconciliation Adj EBITDA'!AA26</f>
        <v>0</v>
      </c>
      <c r="AB25" s="37">
        <f>'Reconciliation Adj EBITDA'!AB26</f>
        <v>0</v>
      </c>
      <c r="AC25" s="37">
        <f>'Reconciliation Adj EBITDA'!AC26</f>
        <v>0</v>
      </c>
      <c r="AD25" s="37">
        <f>'Reconciliation Adj EBITDA'!AD26</f>
        <v>0</v>
      </c>
      <c r="AE25" s="100">
        <f>'Reconciliation Adj EBITDA'!AE26</f>
        <v>0</v>
      </c>
      <c r="AF25" s="37">
        <f>'Reconciliation Adj EBITDA'!AF26</f>
        <v>0</v>
      </c>
      <c r="AG25" s="37">
        <f>'Reconciliation Adj EBITDA'!AG26</f>
        <v>0</v>
      </c>
      <c r="AH25" s="37">
        <f>'Reconciliation Adj EBITDA'!AH26</f>
        <v>0</v>
      </c>
      <c r="AI25" s="37">
        <f>'Reconciliation Adj EBITDA'!AI26</f>
        <v>0</v>
      </c>
      <c r="AJ25" s="100">
        <f>'Reconciliation Adj EBITDA'!AJ26</f>
        <v>0</v>
      </c>
      <c r="AK25" s="37">
        <f>'Reconciliation Adj EBITDA'!AK26</f>
        <v>0</v>
      </c>
      <c r="AL25" s="37">
        <f>'Reconciliation Adj EBITDA'!AL26</f>
        <v>0</v>
      </c>
      <c r="AM25" s="37">
        <f>'Reconciliation Adj EBITDA'!AM26</f>
        <v>0</v>
      </c>
      <c r="AN25" s="37">
        <f>'Reconciliation Adj EBITDA'!AN26</f>
        <v>0</v>
      </c>
      <c r="AO25" s="100">
        <f>'Reconciliation Adj EBITDA'!AO26</f>
        <v>0</v>
      </c>
      <c r="AP25" s="37"/>
      <c r="AQ25" s="259"/>
      <c r="AR25" s="37">
        <f>'Reconciliation Adj EBITDA'!AS26</f>
        <v>0</v>
      </c>
      <c r="AS25" s="37">
        <f>'Reconciliation Adj EBITDA'!AS26</f>
        <v>0</v>
      </c>
      <c r="AT25" s="100">
        <f>'Reconciliation Adj EBITDA'!AT26</f>
        <v>0</v>
      </c>
      <c r="AU25" s="37"/>
      <c r="AV25" s="259"/>
    </row>
    <row r="26" spans="1:48" ht="15" customHeight="1" collapsed="1" x14ac:dyDescent="0.25">
      <c r="A26" s="1" t="s">
        <v>220</v>
      </c>
      <c r="B26" s="68">
        <f t="shared" ref="B26:AM26" si="29">SUM(B18:B25)</f>
        <v>-15809</v>
      </c>
      <c r="C26" s="68">
        <f t="shared" si="29"/>
        <v>-18737</v>
      </c>
      <c r="D26" s="68">
        <f t="shared" si="29"/>
        <v>-18343</v>
      </c>
      <c r="E26" s="68">
        <f t="shared" si="29"/>
        <v>-21031</v>
      </c>
      <c r="F26" s="74">
        <f t="shared" si="29"/>
        <v>-73921</v>
      </c>
      <c r="G26" s="68">
        <f t="shared" si="29"/>
        <v>-21598</v>
      </c>
      <c r="H26" s="68">
        <f t="shared" si="29"/>
        <v>-24787</v>
      </c>
      <c r="I26" s="68">
        <f t="shared" si="29"/>
        <v>-25593</v>
      </c>
      <c r="J26" s="68">
        <f t="shared" si="29"/>
        <v>-24745</v>
      </c>
      <c r="K26" s="74">
        <f t="shared" si="29"/>
        <v>-96724</v>
      </c>
      <c r="L26" s="68">
        <f t="shared" si="29"/>
        <v>-25940</v>
      </c>
      <c r="M26" s="68">
        <f t="shared" si="29"/>
        <v>-26697</v>
      </c>
      <c r="N26" s="68">
        <f t="shared" si="29"/>
        <v>-25014</v>
      </c>
      <c r="O26" s="68">
        <f t="shared" si="29"/>
        <v>-23325</v>
      </c>
      <c r="P26" s="134">
        <f t="shared" si="29"/>
        <v>-100975</v>
      </c>
      <c r="Q26" s="68">
        <f t="shared" si="29"/>
        <v>-25829</v>
      </c>
      <c r="R26" s="68">
        <f t="shared" si="29"/>
        <v>-28959</v>
      </c>
      <c r="S26" s="68">
        <f t="shared" si="29"/>
        <v>-24529</v>
      </c>
      <c r="T26" s="68">
        <f t="shared" si="29"/>
        <v>-29688</v>
      </c>
      <c r="U26" s="134">
        <f t="shared" si="29"/>
        <v>-109004</v>
      </c>
      <c r="V26" s="68">
        <f t="shared" si="29"/>
        <v>-28165</v>
      </c>
      <c r="W26" s="68">
        <f t="shared" si="29"/>
        <v>-28889</v>
      </c>
      <c r="X26" s="68">
        <f t="shared" si="29"/>
        <v>-26796</v>
      </c>
      <c r="Y26" s="68">
        <f t="shared" si="29"/>
        <v>-30624</v>
      </c>
      <c r="Z26" s="134">
        <f t="shared" si="29"/>
        <v>-114474</v>
      </c>
      <c r="AA26" s="68">
        <f t="shared" si="29"/>
        <v>-21656</v>
      </c>
      <c r="AB26" s="68">
        <f t="shared" si="29"/>
        <v>-23972</v>
      </c>
      <c r="AC26" s="68">
        <f t="shared" si="29"/>
        <v>-22113</v>
      </c>
      <c r="AD26" s="68">
        <f t="shared" si="29"/>
        <v>-27371</v>
      </c>
      <c r="AE26" s="134">
        <f t="shared" si="29"/>
        <v>-95112</v>
      </c>
      <c r="AF26" s="68">
        <f t="shared" si="29"/>
        <v>-26565</v>
      </c>
      <c r="AG26" s="68">
        <f t="shared" si="29"/>
        <v>-29051</v>
      </c>
      <c r="AH26" s="68">
        <f t="shared" si="29"/>
        <v>-28074</v>
      </c>
      <c r="AI26" s="68">
        <f t="shared" si="29"/>
        <v>-32073</v>
      </c>
      <c r="AJ26" s="134">
        <f t="shared" si="29"/>
        <v>-115763</v>
      </c>
      <c r="AK26" s="68">
        <f t="shared" si="29"/>
        <v>-26889</v>
      </c>
      <c r="AL26" s="68">
        <f t="shared" si="29"/>
        <v>-27782</v>
      </c>
      <c r="AM26" s="68">
        <f t="shared" si="29"/>
        <v>-31014</v>
      </c>
      <c r="AN26" s="68">
        <f>SUM(AN18:AN25)</f>
        <v>-23561</v>
      </c>
      <c r="AO26" s="134">
        <f t="shared" ref="AO26:AQ26" si="30">SUM(AO18:AO25)</f>
        <v>-109246</v>
      </c>
      <c r="AP26" s="68">
        <f t="shared" si="30"/>
        <v>-30183</v>
      </c>
      <c r="AQ26" s="284">
        <f t="shared" si="30"/>
        <v>-29034</v>
      </c>
      <c r="AR26" s="68">
        <f>SUM(AR18:AR25)+1</f>
        <v>-25207</v>
      </c>
      <c r="AS26" s="68">
        <f>SUM(AS18:AS25)</f>
        <v>-33567</v>
      </c>
      <c r="AT26" s="134">
        <f t="shared" ref="AT26" si="31">SUM(AT18:AT25)</f>
        <v>-117991</v>
      </c>
      <c r="AU26" s="68">
        <f t="shared" ref="AU26" si="32">SUM(AU18:AU25)</f>
        <v>-32712</v>
      </c>
      <c r="AV26" s="315"/>
    </row>
    <row r="27" spans="1:48" ht="15" customHeight="1" x14ac:dyDescent="0.25">
      <c r="A27" s="1" t="s">
        <v>115</v>
      </c>
      <c r="B27" s="67">
        <f t="shared" ref="B27:AM27" si="33">B4+B11+B18</f>
        <v>-88475</v>
      </c>
      <c r="C27" s="67">
        <f t="shared" si="33"/>
        <v>-99984</v>
      </c>
      <c r="D27" s="67">
        <f t="shared" si="33"/>
        <v>-98667</v>
      </c>
      <c r="E27" s="67">
        <f t="shared" si="33"/>
        <v>-108355</v>
      </c>
      <c r="F27" s="72">
        <f t="shared" si="33"/>
        <v>-395482</v>
      </c>
      <c r="G27" s="67">
        <f t="shared" si="33"/>
        <v>-116372</v>
      </c>
      <c r="H27" s="67">
        <f t="shared" si="33"/>
        <v>-128070</v>
      </c>
      <c r="I27" s="67">
        <f t="shared" si="33"/>
        <v>-131357</v>
      </c>
      <c r="J27" s="67">
        <f t="shared" si="33"/>
        <v>-148173</v>
      </c>
      <c r="K27" s="72">
        <f t="shared" si="33"/>
        <v>-523971</v>
      </c>
      <c r="L27" s="67">
        <f t="shared" si="33"/>
        <v>-161767</v>
      </c>
      <c r="M27" s="67">
        <f t="shared" si="33"/>
        <v>-173750</v>
      </c>
      <c r="N27" s="67">
        <f t="shared" si="33"/>
        <v>-171433</v>
      </c>
      <c r="O27" s="67">
        <f t="shared" si="33"/>
        <v>-174701</v>
      </c>
      <c r="P27" s="133">
        <f t="shared" si="33"/>
        <v>-681651</v>
      </c>
      <c r="Q27" s="67">
        <f t="shared" si="33"/>
        <v>-175558</v>
      </c>
      <c r="R27" s="67">
        <f t="shared" si="33"/>
        <v>-175914</v>
      </c>
      <c r="S27" s="67">
        <f t="shared" si="33"/>
        <v>-164785</v>
      </c>
      <c r="T27" s="67">
        <f t="shared" si="33"/>
        <v>-170872</v>
      </c>
      <c r="U27" s="133">
        <f t="shared" si="33"/>
        <v>-687129</v>
      </c>
      <c r="V27" s="67">
        <f t="shared" si="33"/>
        <v>-176256</v>
      </c>
      <c r="W27" s="67">
        <f t="shared" si="33"/>
        <v>-175285</v>
      </c>
      <c r="X27" s="67">
        <f t="shared" si="33"/>
        <v>-160234</v>
      </c>
      <c r="Y27" s="67">
        <f t="shared" si="33"/>
        <v>-176047</v>
      </c>
      <c r="Z27" s="133">
        <f t="shared" si="33"/>
        <v>-687822</v>
      </c>
      <c r="AA27" s="67">
        <f t="shared" si="33"/>
        <v>-148404</v>
      </c>
      <c r="AB27" s="67">
        <f t="shared" si="33"/>
        <v>-136213</v>
      </c>
      <c r="AC27" s="67">
        <f t="shared" si="33"/>
        <v>-143285</v>
      </c>
      <c r="AD27" s="67">
        <f t="shared" si="33"/>
        <v>-151291</v>
      </c>
      <c r="AE27" s="133">
        <f t="shared" si="33"/>
        <v>-579193</v>
      </c>
      <c r="AF27" s="67">
        <f t="shared" si="33"/>
        <v>-144479</v>
      </c>
      <c r="AG27" s="67">
        <f t="shared" si="33"/>
        <v>-163140</v>
      </c>
      <c r="AH27" s="67">
        <f t="shared" si="33"/>
        <v>-143841</v>
      </c>
      <c r="AI27" s="67">
        <f t="shared" si="33"/>
        <v>-178607</v>
      </c>
      <c r="AJ27" s="133">
        <f t="shared" si="33"/>
        <v>-630067</v>
      </c>
      <c r="AK27" s="67">
        <f t="shared" si="33"/>
        <v>-156362</v>
      </c>
      <c r="AL27" s="67">
        <f t="shared" si="33"/>
        <v>-241481</v>
      </c>
      <c r="AM27" s="67">
        <f t="shared" si="33"/>
        <v>-175129</v>
      </c>
      <c r="AN27" s="67">
        <f t="shared" ref="AN27:AR27" si="34">AN4+AN11+AN18</f>
        <v>-197950</v>
      </c>
      <c r="AO27" s="133">
        <f t="shared" si="34"/>
        <v>-770922</v>
      </c>
      <c r="AP27" s="67">
        <f t="shared" si="34"/>
        <v>-205002</v>
      </c>
      <c r="AQ27" s="286">
        <f t="shared" si="34"/>
        <v>-198823</v>
      </c>
      <c r="AR27" s="67">
        <f t="shared" si="34"/>
        <v>-193693</v>
      </c>
      <c r="AS27" s="67">
        <f t="shared" ref="AS27:AU27" si="35">AS4+AS11+AS18</f>
        <v>-188308</v>
      </c>
      <c r="AT27" s="133">
        <f t="shared" si="35"/>
        <v>-785826</v>
      </c>
      <c r="AU27" s="67">
        <f t="shared" si="35"/>
        <v>-206869</v>
      </c>
      <c r="AV27" s="314"/>
    </row>
    <row r="28" spans="1:48" ht="15" customHeight="1" x14ac:dyDescent="0.25">
      <c r="A28" s="16" t="s">
        <v>198</v>
      </c>
      <c r="B28" s="70">
        <f t="shared" ref="B28:AM28" si="36">SUM(B5,B12,B19)</f>
        <v>6317</v>
      </c>
      <c r="C28" s="70">
        <f t="shared" si="36"/>
        <v>5325</v>
      </c>
      <c r="D28" s="70">
        <f t="shared" si="36"/>
        <v>4600</v>
      </c>
      <c r="E28" s="70">
        <f t="shared" si="36"/>
        <v>7748</v>
      </c>
      <c r="F28" s="75">
        <f t="shared" si="36"/>
        <v>23989</v>
      </c>
      <c r="G28" s="70">
        <f t="shared" si="36"/>
        <v>8370</v>
      </c>
      <c r="H28" s="70">
        <f t="shared" si="36"/>
        <v>7695</v>
      </c>
      <c r="I28" s="70">
        <f t="shared" si="36"/>
        <v>13965</v>
      </c>
      <c r="J28" s="70">
        <f t="shared" si="36"/>
        <v>13229</v>
      </c>
      <c r="K28" s="75">
        <f t="shared" si="36"/>
        <v>43259</v>
      </c>
      <c r="L28" s="70">
        <f t="shared" si="36"/>
        <v>14940</v>
      </c>
      <c r="M28" s="70">
        <f t="shared" si="36"/>
        <v>14918</v>
      </c>
      <c r="N28" s="70">
        <f t="shared" si="36"/>
        <v>22028</v>
      </c>
      <c r="O28" s="70">
        <f t="shared" si="36"/>
        <v>20464</v>
      </c>
      <c r="P28" s="113">
        <f t="shared" si="36"/>
        <v>72351</v>
      </c>
      <c r="Q28" s="70">
        <f t="shared" si="36"/>
        <v>19303</v>
      </c>
      <c r="R28" s="70">
        <f t="shared" si="36"/>
        <v>20245</v>
      </c>
      <c r="S28" s="70">
        <f t="shared" si="36"/>
        <v>17261</v>
      </c>
      <c r="T28" s="70">
        <f t="shared" si="36"/>
        <v>10267</v>
      </c>
      <c r="U28" s="113">
        <f t="shared" si="36"/>
        <v>67076</v>
      </c>
      <c r="V28" s="70">
        <f t="shared" si="36"/>
        <v>13882</v>
      </c>
      <c r="W28" s="70">
        <f t="shared" si="36"/>
        <v>14391</v>
      </c>
      <c r="X28" s="70">
        <f t="shared" si="36"/>
        <v>11770</v>
      </c>
      <c r="Y28" s="70">
        <f t="shared" si="36"/>
        <v>9089</v>
      </c>
      <c r="Z28" s="113">
        <f t="shared" si="36"/>
        <v>49132</v>
      </c>
      <c r="AA28" s="70">
        <f t="shared" si="36"/>
        <v>8503</v>
      </c>
      <c r="AB28" s="70">
        <f t="shared" si="36"/>
        <v>7159</v>
      </c>
      <c r="AC28" s="70">
        <f t="shared" si="36"/>
        <v>6803</v>
      </c>
      <c r="AD28" s="70">
        <f t="shared" si="36"/>
        <v>8960</v>
      </c>
      <c r="AE28" s="113">
        <f t="shared" si="36"/>
        <v>31425</v>
      </c>
      <c r="AF28" s="70">
        <f t="shared" si="36"/>
        <v>7882</v>
      </c>
      <c r="AG28" s="70">
        <f t="shared" si="36"/>
        <v>11669</v>
      </c>
      <c r="AH28" s="70">
        <f t="shared" si="36"/>
        <v>13290</v>
      </c>
      <c r="AI28" s="70">
        <f t="shared" si="36"/>
        <v>12114</v>
      </c>
      <c r="AJ28" s="113">
        <f t="shared" si="36"/>
        <v>44955</v>
      </c>
      <c r="AK28" s="70">
        <f t="shared" si="36"/>
        <v>9490</v>
      </c>
      <c r="AL28" s="70">
        <f t="shared" si="36"/>
        <v>12020</v>
      </c>
      <c r="AM28" s="70">
        <f t="shared" si="36"/>
        <v>21084</v>
      </c>
      <c r="AN28" s="70">
        <f t="shared" ref="AN28:AR28" si="37">SUM(AN5,AN12,AN19)</f>
        <v>22441</v>
      </c>
      <c r="AO28" s="113">
        <f t="shared" si="37"/>
        <v>65035</v>
      </c>
      <c r="AP28" s="70">
        <f t="shared" si="37"/>
        <v>26065</v>
      </c>
      <c r="AQ28" s="272">
        <f t="shared" si="37"/>
        <v>27831</v>
      </c>
      <c r="AR28" s="70">
        <f t="shared" si="37"/>
        <v>24323</v>
      </c>
      <c r="AS28" s="70">
        <f t="shared" ref="AS28:AU28" si="38">SUM(AS5,AS12,AS19)</f>
        <v>21003</v>
      </c>
      <c r="AT28" s="113">
        <f t="shared" si="38"/>
        <v>99222</v>
      </c>
      <c r="AU28" s="70">
        <f t="shared" si="38"/>
        <v>27292</v>
      </c>
      <c r="AV28" s="259"/>
    </row>
    <row r="29" spans="1:48" ht="15" customHeight="1" x14ac:dyDescent="0.25">
      <c r="A29" s="16" t="s">
        <v>215</v>
      </c>
      <c r="B29" s="37">
        <f t="shared" ref="B29:AM29" si="39">SUM(B6,B13,B20)</f>
        <v>2457</v>
      </c>
      <c r="C29" s="37">
        <f t="shared" si="39"/>
        <v>3465</v>
      </c>
      <c r="D29" s="37">
        <f t="shared" si="39"/>
        <v>3389</v>
      </c>
      <c r="E29" s="37">
        <f t="shared" si="39"/>
        <v>5388</v>
      </c>
      <c r="F29" s="48">
        <f t="shared" si="39"/>
        <v>14699</v>
      </c>
      <c r="G29" s="37">
        <f t="shared" si="39"/>
        <v>4296</v>
      </c>
      <c r="H29" s="37">
        <f t="shared" si="39"/>
        <v>4080</v>
      </c>
      <c r="I29" s="37">
        <f t="shared" si="39"/>
        <v>4365</v>
      </c>
      <c r="J29" s="37">
        <f t="shared" si="39"/>
        <v>5567</v>
      </c>
      <c r="K29" s="48">
        <f t="shared" si="39"/>
        <v>18310</v>
      </c>
      <c r="L29" s="37">
        <f t="shared" si="39"/>
        <v>9076</v>
      </c>
      <c r="M29" s="37">
        <f t="shared" si="39"/>
        <v>9303</v>
      </c>
      <c r="N29" s="37">
        <f t="shared" si="39"/>
        <v>9435</v>
      </c>
      <c r="O29" s="37">
        <f t="shared" si="39"/>
        <v>8995</v>
      </c>
      <c r="P29" s="100">
        <f t="shared" si="39"/>
        <v>36808</v>
      </c>
      <c r="Q29" s="37">
        <f t="shared" si="39"/>
        <v>8397</v>
      </c>
      <c r="R29" s="37">
        <f t="shared" si="39"/>
        <v>8510</v>
      </c>
      <c r="S29" s="37">
        <f t="shared" si="39"/>
        <v>9048</v>
      </c>
      <c r="T29" s="37">
        <f t="shared" si="39"/>
        <v>10198</v>
      </c>
      <c r="U29" s="100">
        <f t="shared" si="39"/>
        <v>36153</v>
      </c>
      <c r="V29" s="37">
        <f t="shared" si="39"/>
        <v>10161</v>
      </c>
      <c r="W29" s="37">
        <f t="shared" si="39"/>
        <v>10468</v>
      </c>
      <c r="X29" s="37">
        <f t="shared" si="39"/>
        <v>10195</v>
      </c>
      <c r="Y29" s="37">
        <f t="shared" si="39"/>
        <v>17798</v>
      </c>
      <c r="Z29" s="100">
        <f t="shared" si="39"/>
        <v>48622</v>
      </c>
      <c r="AA29" s="37">
        <f t="shared" si="39"/>
        <v>11367</v>
      </c>
      <c r="AB29" s="37">
        <f t="shared" si="39"/>
        <v>7110</v>
      </c>
      <c r="AC29" s="37">
        <f t="shared" si="39"/>
        <v>7040</v>
      </c>
      <c r="AD29" s="37">
        <f t="shared" si="39"/>
        <v>6786</v>
      </c>
      <c r="AE29" s="100">
        <f t="shared" si="39"/>
        <v>32303</v>
      </c>
      <c r="AF29" s="37">
        <f t="shared" si="39"/>
        <v>6610</v>
      </c>
      <c r="AG29" s="37">
        <f t="shared" si="39"/>
        <v>6747</v>
      </c>
      <c r="AH29" s="37">
        <f t="shared" si="39"/>
        <v>6781</v>
      </c>
      <c r="AI29" s="37">
        <f t="shared" si="39"/>
        <v>7145</v>
      </c>
      <c r="AJ29" s="100">
        <f t="shared" si="39"/>
        <v>27283</v>
      </c>
      <c r="AK29" s="37">
        <f t="shared" si="39"/>
        <v>7512</v>
      </c>
      <c r="AL29" s="37">
        <f t="shared" si="39"/>
        <v>7516</v>
      </c>
      <c r="AM29" s="37">
        <f t="shared" si="39"/>
        <v>7311</v>
      </c>
      <c r="AN29" s="37">
        <f t="shared" ref="AN29:AR29" si="40">SUM(AN6,AN13,AN20)</f>
        <v>15797</v>
      </c>
      <c r="AO29" s="100">
        <f t="shared" si="40"/>
        <v>38136</v>
      </c>
      <c r="AP29" s="37">
        <f t="shared" si="40"/>
        <v>13662</v>
      </c>
      <c r="AQ29" s="259">
        <f t="shared" si="40"/>
        <v>13143</v>
      </c>
      <c r="AR29" s="37">
        <f t="shared" si="40"/>
        <v>13199</v>
      </c>
      <c r="AS29" s="37">
        <f t="shared" ref="AS29:AU29" si="41">SUM(AS6,AS13,AS20)</f>
        <v>13875</v>
      </c>
      <c r="AT29" s="100">
        <f t="shared" si="41"/>
        <v>53879</v>
      </c>
      <c r="AU29" s="37">
        <f t="shared" si="41"/>
        <v>16014</v>
      </c>
      <c r="AV29" s="259"/>
    </row>
    <row r="30" spans="1:48" ht="15" customHeight="1" x14ac:dyDescent="0.25">
      <c r="A30" s="16" t="s">
        <v>202</v>
      </c>
      <c r="B30" s="37">
        <f t="shared" ref="B30:AM30" si="42">SUM(B7,B14,B21)</f>
        <v>112</v>
      </c>
      <c r="C30" s="37">
        <f t="shared" si="42"/>
        <v>110</v>
      </c>
      <c r="D30" s="37">
        <f t="shared" si="42"/>
        <v>110</v>
      </c>
      <c r="E30" s="37">
        <f t="shared" si="42"/>
        <v>109</v>
      </c>
      <c r="F30" s="48">
        <f t="shared" si="42"/>
        <v>441</v>
      </c>
      <c r="G30" s="37">
        <f t="shared" si="42"/>
        <v>129</v>
      </c>
      <c r="H30" s="37">
        <f t="shared" si="42"/>
        <v>131</v>
      </c>
      <c r="I30" s="37">
        <f t="shared" si="42"/>
        <v>132</v>
      </c>
      <c r="J30" s="37">
        <f t="shared" si="42"/>
        <v>133</v>
      </c>
      <c r="K30" s="48">
        <f t="shared" si="42"/>
        <v>524</v>
      </c>
      <c r="L30" s="37">
        <f t="shared" si="42"/>
        <v>290</v>
      </c>
      <c r="M30" s="37">
        <f t="shared" si="42"/>
        <v>299</v>
      </c>
      <c r="N30" s="37">
        <f t="shared" si="42"/>
        <v>320</v>
      </c>
      <c r="O30" s="37">
        <f t="shared" si="42"/>
        <v>321</v>
      </c>
      <c r="P30" s="100">
        <f t="shared" si="42"/>
        <v>1231</v>
      </c>
      <c r="Q30" s="37">
        <f t="shared" si="42"/>
        <v>434</v>
      </c>
      <c r="R30" s="37">
        <f t="shared" si="42"/>
        <v>419</v>
      </c>
      <c r="S30" s="37">
        <f t="shared" si="42"/>
        <v>419</v>
      </c>
      <c r="T30" s="37">
        <f t="shared" si="42"/>
        <v>419</v>
      </c>
      <c r="U30" s="100">
        <f t="shared" si="42"/>
        <v>1691</v>
      </c>
      <c r="V30" s="37">
        <f t="shared" si="42"/>
        <v>394</v>
      </c>
      <c r="W30" s="37">
        <f t="shared" si="42"/>
        <v>391</v>
      </c>
      <c r="X30" s="37">
        <f t="shared" si="42"/>
        <v>388</v>
      </c>
      <c r="Y30" s="37">
        <f t="shared" si="42"/>
        <v>383</v>
      </c>
      <c r="Z30" s="100">
        <f t="shared" si="42"/>
        <v>1556</v>
      </c>
      <c r="AA30" s="37">
        <f t="shared" si="42"/>
        <v>538</v>
      </c>
      <c r="AB30" s="37">
        <f t="shared" si="42"/>
        <v>539</v>
      </c>
      <c r="AC30" s="37">
        <f t="shared" si="42"/>
        <v>572</v>
      </c>
      <c r="AD30" s="37">
        <f t="shared" si="42"/>
        <v>583</v>
      </c>
      <c r="AE30" s="100">
        <f t="shared" si="42"/>
        <v>2232</v>
      </c>
      <c r="AF30" s="37">
        <f t="shared" si="42"/>
        <v>338</v>
      </c>
      <c r="AG30" s="37">
        <f t="shared" si="42"/>
        <v>337</v>
      </c>
      <c r="AH30" s="37">
        <f t="shared" si="42"/>
        <v>330</v>
      </c>
      <c r="AI30" s="37">
        <f t="shared" si="42"/>
        <v>319</v>
      </c>
      <c r="AJ30" s="100">
        <f t="shared" si="42"/>
        <v>1324</v>
      </c>
      <c r="AK30" s="37">
        <f t="shared" si="42"/>
        <v>275</v>
      </c>
      <c r="AL30" s="37">
        <f t="shared" si="42"/>
        <v>264</v>
      </c>
      <c r="AM30" s="37">
        <f t="shared" si="42"/>
        <v>247</v>
      </c>
      <c r="AN30" s="37">
        <f t="shared" ref="AN30:AR30" si="43">SUM(AN7,AN14,AN21)</f>
        <v>970</v>
      </c>
      <c r="AO30" s="100">
        <f t="shared" si="43"/>
        <v>1756</v>
      </c>
      <c r="AP30" s="37">
        <f t="shared" si="43"/>
        <v>176</v>
      </c>
      <c r="AQ30" s="259">
        <f t="shared" si="43"/>
        <v>177</v>
      </c>
      <c r="AR30" s="37">
        <f t="shared" si="43"/>
        <v>179</v>
      </c>
      <c r="AS30" s="37">
        <f t="shared" ref="AS30:AU30" si="44">SUM(AS7,AS14,AS21)</f>
        <v>-131</v>
      </c>
      <c r="AT30" s="100">
        <f t="shared" si="44"/>
        <v>401</v>
      </c>
      <c r="AU30" s="37">
        <f t="shared" si="44"/>
        <v>172</v>
      </c>
      <c r="AV30" s="259"/>
    </row>
    <row r="31" spans="1:48" ht="15" customHeight="1" x14ac:dyDescent="0.25">
      <c r="A31" s="16" t="s">
        <v>205</v>
      </c>
      <c r="B31" s="37">
        <f t="shared" ref="B31:AK31" si="45">SUM(B22)</f>
        <v>0</v>
      </c>
      <c r="C31" s="37">
        <f t="shared" si="45"/>
        <v>0</v>
      </c>
      <c r="D31" s="37">
        <f t="shared" si="45"/>
        <v>0</v>
      </c>
      <c r="E31" s="37">
        <f t="shared" si="45"/>
        <v>0</v>
      </c>
      <c r="F31" s="48">
        <f t="shared" si="45"/>
        <v>0</v>
      </c>
      <c r="G31" s="37">
        <f t="shared" si="45"/>
        <v>0</v>
      </c>
      <c r="H31" s="37">
        <f t="shared" si="45"/>
        <v>148</v>
      </c>
      <c r="I31" s="37">
        <f t="shared" si="45"/>
        <v>1793</v>
      </c>
      <c r="J31" s="37">
        <f t="shared" si="45"/>
        <v>980</v>
      </c>
      <c r="K31" s="48">
        <f t="shared" si="45"/>
        <v>2921</v>
      </c>
      <c r="L31" s="37">
        <f t="shared" si="45"/>
        <v>6</v>
      </c>
      <c r="M31" s="37">
        <f t="shared" si="45"/>
        <v>0</v>
      </c>
      <c r="N31" s="37">
        <f t="shared" si="45"/>
        <v>0</v>
      </c>
      <c r="O31" s="37">
        <f t="shared" si="45"/>
        <v>0</v>
      </c>
      <c r="P31" s="100">
        <f t="shared" si="45"/>
        <v>6</v>
      </c>
      <c r="Q31" s="37">
        <f t="shared" si="45"/>
        <v>0</v>
      </c>
      <c r="R31" s="37">
        <f t="shared" si="45"/>
        <v>0</v>
      </c>
      <c r="S31" s="37">
        <f t="shared" si="45"/>
        <v>516</v>
      </c>
      <c r="T31" s="37">
        <f t="shared" si="45"/>
        <v>1222</v>
      </c>
      <c r="U31" s="100">
        <f t="shared" si="45"/>
        <v>1738</v>
      </c>
      <c r="V31" s="37">
        <f t="shared" si="45"/>
        <v>0</v>
      </c>
      <c r="W31" s="37">
        <f t="shared" si="45"/>
        <v>0</v>
      </c>
      <c r="X31" s="37">
        <f t="shared" si="45"/>
        <v>0</v>
      </c>
      <c r="Y31" s="37">
        <f t="shared" si="45"/>
        <v>0</v>
      </c>
      <c r="Z31" s="100">
        <f t="shared" si="45"/>
        <v>0</v>
      </c>
      <c r="AA31" s="37">
        <f t="shared" si="45"/>
        <v>0</v>
      </c>
      <c r="AB31" s="37">
        <f t="shared" si="45"/>
        <v>0</v>
      </c>
      <c r="AC31" s="37">
        <f t="shared" si="45"/>
        <v>112</v>
      </c>
      <c r="AD31" s="37">
        <f t="shared" si="45"/>
        <v>174</v>
      </c>
      <c r="AE31" s="100">
        <f t="shared" si="45"/>
        <v>286</v>
      </c>
      <c r="AF31" s="37">
        <f t="shared" si="45"/>
        <v>0</v>
      </c>
      <c r="AG31" s="37">
        <f t="shared" si="45"/>
        <v>3047</v>
      </c>
      <c r="AH31" s="37">
        <f t="shared" si="45"/>
        <v>2091</v>
      </c>
      <c r="AI31" s="37">
        <f t="shared" si="45"/>
        <v>6118</v>
      </c>
      <c r="AJ31" s="100">
        <f t="shared" si="45"/>
        <v>11256</v>
      </c>
      <c r="AK31" s="37">
        <f t="shared" si="45"/>
        <v>2544</v>
      </c>
      <c r="AL31" s="37">
        <f>SUM(AL22,AL15)</f>
        <v>1977</v>
      </c>
      <c r="AM31" s="37">
        <f>SUM(AM22,AM15)</f>
        <v>6970</v>
      </c>
      <c r="AN31" s="37">
        <f>SUM(AN22+AN15)</f>
        <v>1093</v>
      </c>
      <c r="AO31" s="100">
        <f>SUM(AO22,AO15)</f>
        <v>12584</v>
      </c>
      <c r="AP31" s="37">
        <f>SUM(AP22)+AP9</f>
        <v>832</v>
      </c>
      <c r="AQ31" s="259">
        <f>SUM(AQ22,AQ9)</f>
        <v>362</v>
      </c>
      <c r="AR31" s="37">
        <f>SUM(AR22,AR15,AR9)</f>
        <v>86</v>
      </c>
      <c r="AS31" s="37">
        <f>SUM(AS22+AS15+AS9)</f>
        <v>613</v>
      </c>
      <c r="AT31" s="100">
        <f>AT22+AT9+AT15</f>
        <v>1894</v>
      </c>
      <c r="AU31" s="37">
        <f>SUM(AU22)+AU9</f>
        <v>0</v>
      </c>
      <c r="AV31" s="316"/>
    </row>
    <row r="32" spans="1:48" ht="15" hidden="1" customHeight="1" outlineLevel="1" x14ac:dyDescent="0.25">
      <c r="A32" s="16" t="s">
        <v>206</v>
      </c>
      <c r="B32" s="37">
        <f t="shared" ref="B32:AM32" si="46">SUM(B9,B25)</f>
        <v>109</v>
      </c>
      <c r="C32" s="37">
        <f t="shared" si="46"/>
        <v>115</v>
      </c>
      <c r="D32" s="37">
        <f t="shared" si="46"/>
        <v>54</v>
      </c>
      <c r="E32" s="37">
        <f t="shared" si="46"/>
        <v>-2172</v>
      </c>
      <c r="F32" s="48">
        <f t="shared" si="46"/>
        <v>-1894</v>
      </c>
      <c r="G32" s="37">
        <f t="shared" si="46"/>
        <v>40</v>
      </c>
      <c r="H32" s="37">
        <f t="shared" si="46"/>
        <v>44</v>
      </c>
      <c r="I32" s="37">
        <f t="shared" si="46"/>
        <v>3</v>
      </c>
      <c r="J32" s="37">
        <f t="shared" si="46"/>
        <v>-3</v>
      </c>
      <c r="K32" s="48">
        <f t="shared" si="46"/>
        <v>85</v>
      </c>
      <c r="L32" s="37">
        <f t="shared" si="46"/>
        <v>0</v>
      </c>
      <c r="M32" s="37">
        <f t="shared" si="46"/>
        <v>0</v>
      </c>
      <c r="N32" s="37">
        <f t="shared" si="46"/>
        <v>0</v>
      </c>
      <c r="O32" s="37">
        <f t="shared" si="46"/>
        <v>0</v>
      </c>
      <c r="P32" s="100">
        <f t="shared" si="46"/>
        <v>0</v>
      </c>
      <c r="Q32" s="37">
        <f t="shared" si="46"/>
        <v>0</v>
      </c>
      <c r="R32" s="37">
        <f t="shared" si="46"/>
        <v>0</v>
      </c>
      <c r="S32" s="37">
        <f t="shared" si="46"/>
        <v>0</v>
      </c>
      <c r="T32" s="37">
        <f t="shared" si="46"/>
        <v>0</v>
      </c>
      <c r="U32" s="100">
        <f t="shared" si="46"/>
        <v>0</v>
      </c>
      <c r="V32" s="37">
        <f t="shared" si="46"/>
        <v>0</v>
      </c>
      <c r="W32" s="37">
        <f t="shared" si="46"/>
        <v>0</v>
      </c>
      <c r="X32" s="37">
        <f t="shared" si="46"/>
        <v>0</v>
      </c>
      <c r="Y32" s="37">
        <f t="shared" si="46"/>
        <v>0</v>
      </c>
      <c r="Z32" s="100">
        <f t="shared" si="46"/>
        <v>0</v>
      </c>
      <c r="AA32" s="37">
        <f t="shared" si="46"/>
        <v>0</v>
      </c>
      <c r="AB32" s="37">
        <f t="shared" si="46"/>
        <v>0</v>
      </c>
      <c r="AC32" s="37">
        <f t="shared" si="46"/>
        <v>0</v>
      </c>
      <c r="AD32" s="37">
        <f t="shared" si="46"/>
        <v>0</v>
      </c>
      <c r="AE32" s="100">
        <f t="shared" si="46"/>
        <v>0</v>
      </c>
      <c r="AF32" s="37">
        <f t="shared" si="46"/>
        <v>0</v>
      </c>
      <c r="AG32" s="37">
        <f t="shared" si="46"/>
        <v>0</v>
      </c>
      <c r="AH32" s="37">
        <f t="shared" si="46"/>
        <v>0</v>
      </c>
      <c r="AI32" s="37">
        <f t="shared" si="46"/>
        <v>0</v>
      </c>
      <c r="AJ32" s="100">
        <f t="shared" si="46"/>
        <v>0</v>
      </c>
      <c r="AK32" s="37">
        <f t="shared" si="46"/>
        <v>0</v>
      </c>
      <c r="AL32" s="37">
        <f t="shared" si="46"/>
        <v>0</v>
      </c>
      <c r="AM32" s="37">
        <f t="shared" si="46"/>
        <v>0</v>
      </c>
      <c r="AN32" s="37">
        <f t="shared" ref="AN32:AO32" si="47">SUM(AN9,AN25)</f>
        <v>0</v>
      </c>
      <c r="AO32" s="100">
        <f t="shared" si="47"/>
        <v>0</v>
      </c>
      <c r="AP32" s="37">
        <v>0</v>
      </c>
      <c r="AQ32" s="259">
        <v>0</v>
      </c>
      <c r="AR32" s="37">
        <f>SUM(AR25)</f>
        <v>0</v>
      </c>
      <c r="AS32" s="37">
        <v>0</v>
      </c>
      <c r="AT32" s="100">
        <v>0</v>
      </c>
      <c r="AU32" s="37">
        <v>0</v>
      </c>
      <c r="AV32" s="259"/>
    </row>
    <row r="33" spans="1:48" ht="15" customHeight="1" collapsed="1" x14ac:dyDescent="0.25">
      <c r="A33" s="16" t="s">
        <v>207</v>
      </c>
      <c r="B33" s="37"/>
      <c r="C33" s="37"/>
      <c r="D33" s="37"/>
      <c r="E33" s="37"/>
      <c r="F33" s="48"/>
      <c r="G33" s="37"/>
      <c r="H33" s="37"/>
      <c r="I33" s="37"/>
      <c r="J33" s="37"/>
      <c r="K33" s="48"/>
      <c r="L33" s="37"/>
      <c r="M33" s="37"/>
      <c r="N33" s="37"/>
      <c r="O33" s="37"/>
      <c r="P33" s="100"/>
      <c r="Q33" s="37"/>
      <c r="R33" s="37"/>
      <c r="S33" s="37"/>
      <c r="T33" s="37"/>
      <c r="U33" s="100"/>
      <c r="V33" s="37"/>
      <c r="W33" s="37"/>
      <c r="X33" s="37">
        <v>0</v>
      </c>
      <c r="Y33" s="37">
        <v>0</v>
      </c>
      <c r="Z33" s="100">
        <v>0</v>
      </c>
      <c r="AA33" s="37">
        <v>0</v>
      </c>
      <c r="AB33" s="37">
        <v>0</v>
      </c>
      <c r="AC33" s="37">
        <v>0</v>
      </c>
      <c r="AD33" s="37">
        <v>0</v>
      </c>
      <c r="AE33" s="100">
        <v>0</v>
      </c>
      <c r="AF33" s="37">
        <v>0</v>
      </c>
      <c r="AG33" s="37">
        <v>0</v>
      </c>
      <c r="AH33" s="37">
        <v>0</v>
      </c>
      <c r="AI33" s="37">
        <v>0</v>
      </c>
      <c r="AJ33" s="100">
        <v>0</v>
      </c>
      <c r="AK33" s="37">
        <v>0</v>
      </c>
      <c r="AL33" s="37">
        <v>65684</v>
      </c>
      <c r="AM33" s="37">
        <v>-1764</v>
      </c>
      <c r="AN33" s="37">
        <v>-699</v>
      </c>
      <c r="AO33" s="100">
        <f>SUM(AL33:AN33)</f>
        <v>63221</v>
      </c>
      <c r="AP33" s="37">
        <v>0</v>
      </c>
      <c r="AQ33" s="259">
        <v>-21616</v>
      </c>
      <c r="AR33" s="37">
        <v>-51</v>
      </c>
      <c r="AS33" s="37">
        <f>AS24</f>
        <v>35</v>
      </c>
      <c r="AT33" s="100">
        <f>SUM(AP33:AS33)</f>
        <v>-21632</v>
      </c>
      <c r="AU33" s="37">
        <v>0</v>
      </c>
      <c r="AV33" s="259"/>
    </row>
    <row r="34" spans="1:48" ht="15" customHeight="1" x14ac:dyDescent="0.25">
      <c r="A34" s="16" t="s">
        <v>208</v>
      </c>
      <c r="B34" s="37">
        <f t="shared" ref="B34:AL34" si="48">SUM(B16,B23,B8)</f>
        <v>0</v>
      </c>
      <c r="C34" s="37">
        <f t="shared" si="48"/>
        <v>0</v>
      </c>
      <c r="D34" s="37">
        <f t="shared" si="48"/>
        <v>0</v>
      </c>
      <c r="E34" s="37">
        <f t="shared" si="48"/>
        <v>0</v>
      </c>
      <c r="F34" s="48">
        <f t="shared" si="48"/>
        <v>0</v>
      </c>
      <c r="G34" s="37">
        <f t="shared" si="48"/>
        <v>0</v>
      </c>
      <c r="H34" s="37">
        <f t="shared" si="48"/>
        <v>0</v>
      </c>
      <c r="I34" s="37">
        <f t="shared" si="48"/>
        <v>0</v>
      </c>
      <c r="J34" s="37">
        <f t="shared" si="48"/>
        <v>0</v>
      </c>
      <c r="K34" s="48">
        <f t="shared" si="48"/>
        <v>0</v>
      </c>
      <c r="L34" s="37">
        <f t="shared" si="48"/>
        <v>0</v>
      </c>
      <c r="M34" s="37">
        <f t="shared" si="48"/>
        <v>802</v>
      </c>
      <c r="N34" s="37">
        <f t="shared" si="48"/>
        <v>0</v>
      </c>
      <c r="O34" s="37">
        <f t="shared" si="48"/>
        <v>4057</v>
      </c>
      <c r="P34" s="100">
        <f t="shared" si="48"/>
        <v>4859</v>
      </c>
      <c r="Q34" s="37">
        <f t="shared" si="48"/>
        <v>-252</v>
      </c>
      <c r="R34" s="37">
        <f t="shared" si="48"/>
        <v>199</v>
      </c>
      <c r="S34" s="37">
        <f t="shared" si="48"/>
        <v>0</v>
      </c>
      <c r="T34" s="37">
        <f t="shared" si="48"/>
        <v>0</v>
      </c>
      <c r="U34" s="100">
        <f t="shared" si="48"/>
        <v>-53</v>
      </c>
      <c r="V34" s="37">
        <f t="shared" si="48"/>
        <v>1890</v>
      </c>
      <c r="W34" s="37">
        <f t="shared" si="48"/>
        <v>728</v>
      </c>
      <c r="X34" s="37">
        <f t="shared" si="48"/>
        <v>303</v>
      </c>
      <c r="Y34" s="37">
        <f t="shared" si="48"/>
        <v>10661</v>
      </c>
      <c r="Z34" s="100">
        <f t="shared" si="48"/>
        <v>13582</v>
      </c>
      <c r="AA34" s="37">
        <f t="shared" si="48"/>
        <v>2209</v>
      </c>
      <c r="AB34" s="37">
        <f t="shared" si="48"/>
        <v>1216</v>
      </c>
      <c r="AC34" s="37">
        <f t="shared" si="48"/>
        <v>12181</v>
      </c>
      <c r="AD34" s="37">
        <f t="shared" si="48"/>
        <v>4383</v>
      </c>
      <c r="AE34" s="100">
        <f t="shared" si="48"/>
        <v>19989</v>
      </c>
      <c r="AF34" s="37">
        <f t="shared" si="48"/>
        <v>11636</v>
      </c>
      <c r="AG34" s="37">
        <f t="shared" si="48"/>
        <v>9996</v>
      </c>
      <c r="AH34" s="37">
        <f t="shared" si="48"/>
        <v>-1767</v>
      </c>
      <c r="AI34" s="37">
        <f t="shared" si="48"/>
        <v>1833</v>
      </c>
      <c r="AJ34" s="100">
        <f t="shared" si="48"/>
        <v>21698</v>
      </c>
      <c r="AK34" s="37">
        <f t="shared" si="48"/>
        <v>710</v>
      </c>
      <c r="AL34" s="37">
        <f t="shared" si="48"/>
        <v>5925</v>
      </c>
      <c r="AM34" s="37">
        <f>SUM(AM16,AM23,AM8)</f>
        <v>-81</v>
      </c>
      <c r="AN34" s="37">
        <f>SUM(AN16,AN23,AN8)</f>
        <v>4123</v>
      </c>
      <c r="AO34" s="100">
        <f>SUM(AO16,AO23,AO8)</f>
        <v>10677</v>
      </c>
      <c r="AP34" s="37">
        <f t="shared" ref="AP34:AQ34" si="49">SUM(AP16,AP23,AP8)</f>
        <v>9602</v>
      </c>
      <c r="AQ34" s="259">
        <f t="shared" si="49"/>
        <v>21563</v>
      </c>
      <c r="AR34" s="37">
        <f>SUM(AR16,AR23,AR8)</f>
        <v>7833</v>
      </c>
      <c r="AS34" s="37">
        <f>SUM(AS16,AS23,AS8)</f>
        <v>5729</v>
      </c>
      <c r="AT34" s="100">
        <f>SUM(AT16,AT23,AT8)</f>
        <v>44727</v>
      </c>
      <c r="AU34" s="37">
        <f t="shared" ref="AU34" si="50">SUM(AU16,AU23,AU8)</f>
        <v>7943</v>
      </c>
    </row>
    <row r="35" spans="1:48" ht="15" customHeight="1" x14ac:dyDescent="0.25">
      <c r="A35" s="1" t="s">
        <v>221</v>
      </c>
      <c r="B35" s="58">
        <f t="shared" ref="B35:AH35" si="51">SUM(B27:B34)</f>
        <v>-79480</v>
      </c>
      <c r="C35" s="58">
        <f t="shared" si="51"/>
        <v>-90969</v>
      </c>
      <c r="D35" s="58">
        <f t="shared" si="51"/>
        <v>-90514</v>
      </c>
      <c r="E35" s="58">
        <f t="shared" si="51"/>
        <v>-97282</v>
      </c>
      <c r="F35" s="8">
        <f t="shared" si="51"/>
        <v>-358247</v>
      </c>
      <c r="G35" s="58">
        <f t="shared" si="51"/>
        <v>-103537</v>
      </c>
      <c r="H35" s="58">
        <f t="shared" si="51"/>
        <v>-115972</v>
      </c>
      <c r="I35" s="58">
        <f t="shared" si="51"/>
        <v>-111099</v>
      </c>
      <c r="J35" s="58">
        <f t="shared" si="51"/>
        <v>-128267</v>
      </c>
      <c r="K35" s="8">
        <f t="shared" si="51"/>
        <v>-458872</v>
      </c>
      <c r="L35" s="58">
        <f t="shared" si="51"/>
        <v>-137455</v>
      </c>
      <c r="M35" s="58">
        <f t="shared" si="51"/>
        <v>-148428</v>
      </c>
      <c r="N35" s="58">
        <f t="shared" si="51"/>
        <v>-139650</v>
      </c>
      <c r="O35" s="58">
        <f t="shared" si="51"/>
        <v>-140864</v>
      </c>
      <c r="P35" s="111">
        <f t="shared" si="51"/>
        <v>-566396</v>
      </c>
      <c r="Q35" s="58">
        <f t="shared" si="51"/>
        <v>-147676</v>
      </c>
      <c r="R35" s="58">
        <f t="shared" si="51"/>
        <v>-146541</v>
      </c>
      <c r="S35" s="58">
        <f t="shared" si="51"/>
        <v>-137541</v>
      </c>
      <c r="T35" s="58">
        <f t="shared" si="51"/>
        <v>-148766</v>
      </c>
      <c r="U35" s="111">
        <f t="shared" si="51"/>
        <v>-580524</v>
      </c>
      <c r="V35" s="58">
        <f t="shared" si="51"/>
        <v>-149929</v>
      </c>
      <c r="W35" s="58">
        <f t="shared" si="51"/>
        <v>-149307</v>
      </c>
      <c r="X35" s="58">
        <f t="shared" si="51"/>
        <v>-137578</v>
      </c>
      <c r="Y35" s="58">
        <f t="shared" si="51"/>
        <v>-138116</v>
      </c>
      <c r="Z35" s="111">
        <f t="shared" si="51"/>
        <v>-574930</v>
      </c>
      <c r="AA35" s="58">
        <f t="shared" si="51"/>
        <v>-125787</v>
      </c>
      <c r="AB35" s="58">
        <f t="shared" si="51"/>
        <v>-120189</v>
      </c>
      <c r="AC35" s="58">
        <f t="shared" si="51"/>
        <v>-116577</v>
      </c>
      <c r="AD35" s="58">
        <f t="shared" si="51"/>
        <v>-130405</v>
      </c>
      <c r="AE35" s="111">
        <f t="shared" si="51"/>
        <v>-492958</v>
      </c>
      <c r="AF35" s="58">
        <f t="shared" si="51"/>
        <v>-118013</v>
      </c>
      <c r="AG35" s="58">
        <f t="shared" si="51"/>
        <v>-131344</v>
      </c>
      <c r="AH35" s="58">
        <f t="shared" si="51"/>
        <v>-123116</v>
      </c>
      <c r="AI35" s="58">
        <f t="shared" ref="AI35:AJ35" si="52">SUM(AI27:AI34)</f>
        <v>-151078</v>
      </c>
      <c r="AJ35" s="111">
        <f t="shared" si="52"/>
        <v>-523551</v>
      </c>
      <c r="AK35" s="58">
        <f>SUM(AK27:AK34)</f>
        <v>-135831</v>
      </c>
      <c r="AL35" s="58">
        <f>SUM(AL27:AL34)</f>
        <v>-148095</v>
      </c>
      <c r="AM35" s="58">
        <f>SUM(AM27:AM34)</f>
        <v>-141362</v>
      </c>
      <c r="AN35" s="58">
        <f t="shared" ref="AN35:AO35" si="53">SUM(AN27:AN34)</f>
        <v>-154225</v>
      </c>
      <c r="AO35" s="111">
        <f t="shared" si="53"/>
        <v>-579513</v>
      </c>
      <c r="AP35" s="58">
        <f t="shared" ref="AP35:AU35" si="54">SUM(AP27:AP34)</f>
        <v>-154665</v>
      </c>
      <c r="AQ35" s="270">
        <f t="shared" si="54"/>
        <v>-157363</v>
      </c>
      <c r="AR35" s="58">
        <f t="shared" si="54"/>
        <v>-148124</v>
      </c>
      <c r="AS35" s="58">
        <f t="shared" si="54"/>
        <v>-147184</v>
      </c>
      <c r="AT35" s="111">
        <f t="shared" si="54"/>
        <v>-607335</v>
      </c>
      <c r="AU35" s="58">
        <f t="shared" si="54"/>
        <v>-155448</v>
      </c>
      <c r="AV35" s="283"/>
    </row>
    <row r="36" spans="1:48" ht="15" customHeight="1" x14ac:dyDescent="0.25">
      <c r="F36" s="9"/>
      <c r="K36" s="9"/>
      <c r="P36" s="95"/>
      <c r="U36" s="95"/>
      <c r="Z36" s="95"/>
      <c r="AE36" s="95"/>
      <c r="AJ36" s="95"/>
      <c r="AO36" s="95"/>
      <c r="AT36" s="95"/>
    </row>
    <row r="37" spans="1:48" ht="77.849999999999994" customHeight="1" x14ac:dyDescent="0.25">
      <c r="A37" s="318" t="s">
        <v>222</v>
      </c>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row>
    <row r="38" spans="1:48" ht="15" customHeight="1" x14ac:dyDescent="0.25"/>
    <row r="39" spans="1:48" ht="15" customHeight="1" x14ac:dyDescent="0.25"/>
    <row r="40" spans="1:48" ht="15" customHeight="1" x14ac:dyDescent="0.25"/>
    <row r="41" spans="1:48" ht="15" customHeight="1" x14ac:dyDescent="0.25"/>
    <row r="42" spans="1:48" ht="15" customHeight="1" x14ac:dyDescent="0.25"/>
    <row r="43" spans="1:48" ht="15" customHeight="1" x14ac:dyDescent="0.25"/>
    <row r="44" spans="1:48" ht="15" customHeight="1" x14ac:dyDescent="0.25"/>
    <row r="45" spans="1:48" ht="15" customHeight="1" x14ac:dyDescent="0.25"/>
    <row r="46" spans="1:48" ht="15" customHeight="1" x14ac:dyDescent="0.25"/>
    <row r="47" spans="1:48" ht="15" customHeight="1" x14ac:dyDescent="0.25"/>
    <row r="48" spans="1: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sheetData>
  <mergeCells count="1">
    <mergeCell ref="A37:AE37"/>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V98"/>
  <sheetViews>
    <sheetView showGridLines="0" zoomScale="84" zoomScaleNormal="84" workbookViewId="0">
      <pane xSplit="11" topLeftCell="AK1" activePane="topRight" state="frozen"/>
      <selection pane="topRight" activeCell="AV1" sqref="AV1:AV1048576"/>
    </sheetView>
  </sheetViews>
  <sheetFormatPr defaultColWidth="12.6640625" defaultRowHeight="13.2" outlineLevelCol="1" x14ac:dyDescent="0.25"/>
  <cols>
    <col min="1" max="1" width="58.6640625" style="2" customWidth="1"/>
    <col min="2" max="11" width="12.6640625" style="2" hidden="1" customWidth="1" outlineLevel="1"/>
    <col min="12" max="12" width="12.6640625" style="2" hidden="1" customWidth="1" outlineLevel="1" collapsed="1"/>
    <col min="13" max="13" width="12.6640625" style="2" hidden="1" customWidth="1" outlineLevel="1"/>
    <col min="14" max="14" width="12.6640625" style="2" hidden="1" customWidth="1" outlineLevel="1" collapsed="1"/>
    <col min="15" max="18" width="12.6640625" style="2" hidden="1" customWidth="1" outlineLevel="1"/>
    <col min="19" max="19" width="0" style="2" hidden="1" customWidth="1" outlineLevel="1"/>
    <col min="20" max="20" width="0" style="2" hidden="1" customWidth="1" collapsed="1"/>
    <col min="21" max="36" width="0" style="2" hidden="1" customWidth="1"/>
    <col min="37" max="43" width="12.6640625" style="2"/>
    <col min="44" max="44" width="12.6640625" style="2" customWidth="1"/>
    <col min="45" max="47" width="12.6640625" style="2"/>
    <col min="48" max="48" width="12.6640625" style="151"/>
    <col min="49" max="16384" width="12.6640625" style="2"/>
  </cols>
  <sheetData>
    <row r="1" spans="1:47" x14ac:dyDescent="0.25">
      <c r="A1" s="1" t="s">
        <v>223</v>
      </c>
    </row>
    <row r="2" spans="1:47" x14ac:dyDescent="0.25">
      <c r="A2" s="5" t="s">
        <v>1</v>
      </c>
    </row>
    <row r="3" spans="1:47" ht="14.1" customHeight="1" x14ac:dyDescent="0.25">
      <c r="B3" s="14" t="s">
        <v>60</v>
      </c>
      <c r="C3" s="14" t="s">
        <v>61</v>
      </c>
      <c r="D3" s="14" t="s">
        <v>62</v>
      </c>
      <c r="E3" s="14" t="s">
        <v>63</v>
      </c>
      <c r="F3" s="15" t="s">
        <v>64</v>
      </c>
      <c r="G3" s="14" t="s">
        <v>65</v>
      </c>
      <c r="H3" s="14" t="s">
        <v>66</v>
      </c>
      <c r="I3" s="14" t="s">
        <v>67</v>
      </c>
      <c r="J3" s="14" t="s">
        <v>68</v>
      </c>
      <c r="K3" s="15" t="s">
        <v>69</v>
      </c>
      <c r="L3" s="14" t="s">
        <v>70</v>
      </c>
      <c r="M3" s="14" t="s">
        <v>71</v>
      </c>
      <c r="N3" s="14" t="s">
        <v>72</v>
      </c>
      <c r="O3" s="14" t="s">
        <v>73</v>
      </c>
      <c r="P3" s="110" t="s">
        <v>74</v>
      </c>
      <c r="Q3" s="14" t="s">
        <v>75</v>
      </c>
      <c r="R3" s="14" t="s">
        <v>76</v>
      </c>
      <c r="S3" s="14" t="s">
        <v>77</v>
      </c>
      <c r="T3" s="14" t="s">
        <v>78</v>
      </c>
      <c r="U3" s="110" t="s">
        <v>79</v>
      </c>
      <c r="V3" s="14" t="s">
        <v>80</v>
      </c>
      <c r="W3" s="14" t="s">
        <v>81</v>
      </c>
      <c r="X3" s="14" t="s">
        <v>82</v>
      </c>
      <c r="Y3" s="14" t="s">
        <v>83</v>
      </c>
      <c r="Z3" s="110" t="s">
        <v>84</v>
      </c>
      <c r="AA3" s="14" t="s">
        <v>85</v>
      </c>
      <c r="AB3" s="14" t="s">
        <v>86</v>
      </c>
      <c r="AC3" s="14" t="s">
        <v>87</v>
      </c>
      <c r="AD3" s="14" t="s">
        <v>88</v>
      </c>
      <c r="AE3" s="110" t="s">
        <v>89</v>
      </c>
      <c r="AF3" s="14" t="s">
        <v>90</v>
      </c>
      <c r="AG3" s="14" t="s">
        <v>91</v>
      </c>
      <c r="AH3" s="14" t="s">
        <v>92</v>
      </c>
      <c r="AI3" s="14" t="s">
        <v>93</v>
      </c>
      <c r="AJ3" s="110" t="s">
        <v>94</v>
      </c>
      <c r="AK3" s="14" t="s">
        <v>95</v>
      </c>
      <c r="AL3" s="14" t="s">
        <v>96</v>
      </c>
      <c r="AM3" s="14" t="s">
        <v>97</v>
      </c>
      <c r="AN3" s="14" t="s">
        <v>98</v>
      </c>
      <c r="AO3" s="110" t="s">
        <v>99</v>
      </c>
      <c r="AP3" s="14" t="s">
        <v>100</v>
      </c>
      <c r="AQ3" s="14" t="s">
        <v>101</v>
      </c>
      <c r="AR3" s="14" t="s">
        <v>102</v>
      </c>
      <c r="AS3" s="14" t="s">
        <v>103</v>
      </c>
      <c r="AT3" s="110" t="s">
        <v>104</v>
      </c>
      <c r="AU3" s="14" t="s">
        <v>105</v>
      </c>
    </row>
    <row r="4" spans="1:47" ht="14.1" customHeight="1" x14ac:dyDescent="0.25">
      <c r="A4" s="18" t="s">
        <v>198</v>
      </c>
      <c r="B4" s="19"/>
      <c r="C4" s="19"/>
      <c r="D4" s="19"/>
      <c r="E4" s="19"/>
      <c r="F4" s="20"/>
      <c r="G4" s="19"/>
      <c r="H4" s="19"/>
      <c r="I4" s="19"/>
      <c r="J4" s="19"/>
      <c r="K4" s="20"/>
      <c r="L4" s="19"/>
      <c r="M4" s="3"/>
      <c r="N4" s="3"/>
      <c r="O4" s="3"/>
      <c r="P4" s="97"/>
      <c r="S4" s="3"/>
      <c r="T4" s="3"/>
      <c r="U4" s="97"/>
      <c r="X4" s="3"/>
      <c r="Y4" s="3"/>
      <c r="Z4" s="97"/>
      <c r="AC4" s="3"/>
      <c r="AD4" s="3"/>
      <c r="AE4" s="97"/>
      <c r="AH4" s="3"/>
      <c r="AI4" s="3"/>
      <c r="AJ4" s="97"/>
      <c r="AK4" s="3"/>
      <c r="AM4" s="3"/>
      <c r="AN4" s="3"/>
      <c r="AO4" s="97"/>
      <c r="AP4" s="3"/>
      <c r="AR4" s="3"/>
      <c r="AS4" s="3"/>
      <c r="AT4" s="97"/>
      <c r="AU4" s="3"/>
    </row>
    <row r="5" spans="1:47" ht="15" customHeight="1" x14ac:dyDescent="0.25">
      <c r="A5" s="21" t="s">
        <v>199</v>
      </c>
      <c r="B5" s="35">
        <f>'Reconciliation Adj EBITDA'!B9</f>
        <v>1478</v>
      </c>
      <c r="C5" s="35">
        <f>'Reconciliation Adj EBITDA'!C9</f>
        <v>1162</v>
      </c>
      <c r="D5" s="35">
        <f>'Reconciliation Adj EBITDA'!D9</f>
        <v>1714</v>
      </c>
      <c r="E5" s="35">
        <f>'Reconciliation Adj EBITDA'!E9</f>
        <v>2167</v>
      </c>
      <c r="F5" s="46">
        <f>'Reconciliation Adj EBITDA'!F9</f>
        <v>6520</v>
      </c>
      <c r="G5" s="35">
        <f>'Reconciliation Adj EBITDA'!G9</f>
        <v>2402</v>
      </c>
      <c r="H5" s="35">
        <f>'Reconciliation Adj EBITDA'!H9</f>
        <v>2179</v>
      </c>
      <c r="I5" s="35">
        <f>'Reconciliation Adj EBITDA'!I9</f>
        <v>4667</v>
      </c>
      <c r="J5" s="35">
        <f>'Reconciliation Adj EBITDA'!J9</f>
        <v>2860</v>
      </c>
      <c r="K5" s="46">
        <f>'Reconciliation Adj EBITDA'!K9</f>
        <v>12108</v>
      </c>
      <c r="L5" s="35">
        <f>'Reconciliation Adj EBITDA'!L9</f>
        <v>3916</v>
      </c>
      <c r="M5" s="35">
        <f>'Reconciliation Adj EBITDA'!M9</f>
        <v>4461</v>
      </c>
      <c r="N5" s="35">
        <f>'Reconciliation Adj EBITDA'!N9</f>
        <v>6361</v>
      </c>
      <c r="O5" s="35">
        <f>'Reconciliation Adj EBITDA'!O9</f>
        <v>6355</v>
      </c>
      <c r="P5" s="98">
        <f>'Reconciliation Adj EBITDA'!P9</f>
        <v>21093</v>
      </c>
      <c r="Q5" s="35">
        <f>'Reconciliation Adj EBITDA'!Q9</f>
        <v>4555</v>
      </c>
      <c r="R5" s="35">
        <f>'Reconciliation Adj EBITDA'!R9</f>
        <v>6771</v>
      </c>
      <c r="S5" s="35">
        <f>'Reconciliation Adj EBITDA'!S9</f>
        <v>4901</v>
      </c>
      <c r="T5" s="35">
        <f>'Reconciliation Adj EBITDA'!T9</f>
        <v>5005</v>
      </c>
      <c r="U5" s="98">
        <f>'Reconciliation Adj EBITDA'!U9</f>
        <v>21232</v>
      </c>
      <c r="V5" s="35">
        <f>'Reconciliation Adj EBITDA'!V9</f>
        <v>4025</v>
      </c>
      <c r="W5" s="35">
        <f>'Reconciliation Adj EBITDA'!W9</f>
        <v>4203</v>
      </c>
      <c r="X5" s="35">
        <f>'Reconciliation Adj EBITDA'!X9</f>
        <v>3230</v>
      </c>
      <c r="Y5" s="35">
        <f>'Reconciliation Adj EBITDA'!Y9</f>
        <v>3578</v>
      </c>
      <c r="Z5" s="98">
        <f>'Reconciliation Adj EBITDA'!Z9</f>
        <v>15036</v>
      </c>
      <c r="AA5" s="35">
        <f>'Reconciliation Adj EBITDA'!AA9</f>
        <v>2370</v>
      </c>
      <c r="AB5" s="35">
        <f>'Reconciliation Adj EBITDA'!AB9</f>
        <v>2068</v>
      </c>
      <c r="AC5" s="35">
        <f>'Reconciliation Adj EBITDA'!AC9</f>
        <v>3333</v>
      </c>
      <c r="AD5" s="35">
        <f>'Reconciliation Adj EBITDA'!AD9</f>
        <v>2482</v>
      </c>
      <c r="AE5" s="98">
        <f>'Reconciliation Adj EBITDA'!AE9</f>
        <v>10253</v>
      </c>
      <c r="AF5" s="35">
        <f>'Reconciliation Adj EBITDA'!AF9</f>
        <v>2496</v>
      </c>
      <c r="AG5" s="35">
        <f>'Reconciliation Adj EBITDA'!AG9</f>
        <v>4218</v>
      </c>
      <c r="AH5" s="35">
        <f>'Reconciliation Adj EBITDA'!AH9</f>
        <v>4858</v>
      </c>
      <c r="AI5" s="35">
        <f>'Reconciliation Adj EBITDA'!AI9</f>
        <v>4762</v>
      </c>
      <c r="AJ5" s="98">
        <f>'Reconciliation Adj EBITDA'!AJ9</f>
        <v>16334</v>
      </c>
      <c r="AK5" s="35">
        <f>'Reconciliation Adj EBITDA'!AK9</f>
        <v>3967</v>
      </c>
      <c r="AL5" s="35">
        <f>'Reconciliation Adj EBITDA'!AL9</f>
        <v>5578</v>
      </c>
      <c r="AM5" s="35">
        <f>'Reconciliation Adj EBITDA'!AM9</f>
        <v>11621</v>
      </c>
      <c r="AN5" s="35">
        <f>'Reconciliation Adj EBITDA'!AN9</f>
        <v>15348</v>
      </c>
      <c r="AO5" s="98">
        <f>'Reconciliation Adj EBITDA'!AO9</f>
        <v>36514</v>
      </c>
      <c r="AP5" s="35">
        <f>'Reconciliation Adj EBITDA'!AP9</f>
        <v>16336</v>
      </c>
      <c r="AQ5" s="35">
        <f>'Reconciliation Adj EBITDA'!AQ9</f>
        <v>16339</v>
      </c>
      <c r="AR5" s="35">
        <f>'Reconciliation Adj EBITDA'!AR9</f>
        <v>11938</v>
      </c>
      <c r="AS5" s="35">
        <f>'Reconciliation Adj EBITDA'!AS9</f>
        <v>10465</v>
      </c>
      <c r="AT5" s="98">
        <f>'Reconciliation Adj EBITDA'!AT9</f>
        <v>55078</v>
      </c>
      <c r="AU5" s="35">
        <f>'Reconciliation Adj EBITDA'!AU9</f>
        <v>14594</v>
      </c>
    </row>
    <row r="6" spans="1:47" ht="15" customHeight="1" x14ac:dyDescent="0.25">
      <c r="A6" s="21" t="s">
        <v>200</v>
      </c>
      <c r="B6" s="37">
        <f>'Reconciliation Adj EBITDA'!B10</f>
        <v>3454</v>
      </c>
      <c r="C6" s="37">
        <f>'Reconciliation Adj EBITDA'!C10</f>
        <v>2903</v>
      </c>
      <c r="D6" s="37">
        <f>'Reconciliation Adj EBITDA'!D10</f>
        <v>1715</v>
      </c>
      <c r="E6" s="37">
        <f>'Reconciliation Adj EBITDA'!E10</f>
        <v>3606</v>
      </c>
      <c r="F6" s="48">
        <f>'Reconciliation Adj EBITDA'!F10</f>
        <v>11678</v>
      </c>
      <c r="G6" s="37">
        <f>'Reconciliation Adj EBITDA'!G10</f>
        <v>3390</v>
      </c>
      <c r="H6" s="37">
        <f>'Reconciliation Adj EBITDA'!H10</f>
        <v>2488</v>
      </c>
      <c r="I6" s="37">
        <f>'Reconciliation Adj EBITDA'!I10</f>
        <v>5143</v>
      </c>
      <c r="J6" s="37">
        <f>'Reconciliation Adj EBITDA'!J10</f>
        <v>5816</v>
      </c>
      <c r="K6" s="48">
        <f>'Reconciliation Adj EBITDA'!K10</f>
        <v>16838</v>
      </c>
      <c r="L6" s="37">
        <f>'Reconciliation Adj EBITDA'!L10</f>
        <v>6710</v>
      </c>
      <c r="M6" s="37">
        <f>'Reconciliation Adj EBITDA'!M10</f>
        <v>6401</v>
      </c>
      <c r="N6" s="37">
        <f>'Reconciliation Adj EBITDA'!N10</f>
        <v>9897</v>
      </c>
      <c r="O6" s="37">
        <f>'Reconciliation Adj EBITDA'!O10</f>
        <v>8377</v>
      </c>
      <c r="P6" s="100">
        <f>'Reconciliation Adj EBITDA'!P10</f>
        <v>31386</v>
      </c>
      <c r="Q6" s="37">
        <f>'Reconciliation Adj EBITDA'!Q10</f>
        <v>7832</v>
      </c>
      <c r="R6" s="37">
        <f>'Reconciliation Adj EBITDA'!R10</f>
        <v>8668</v>
      </c>
      <c r="S6" s="37">
        <f>'Reconciliation Adj EBITDA'!S10</f>
        <v>6952</v>
      </c>
      <c r="T6" s="37">
        <f>'Reconciliation Adj EBITDA'!T10</f>
        <v>5793</v>
      </c>
      <c r="U6" s="100">
        <f>'Reconciliation Adj EBITDA'!U10</f>
        <v>29244</v>
      </c>
      <c r="V6" s="37">
        <f>'Reconciliation Adj EBITDA'!V10</f>
        <v>6201</v>
      </c>
      <c r="W6" s="37">
        <f>'Reconciliation Adj EBITDA'!W10</f>
        <v>5693</v>
      </c>
      <c r="X6" s="37">
        <f>'Reconciliation Adj EBITDA'!X10</f>
        <v>4398</v>
      </c>
      <c r="Y6" s="37">
        <f>'Reconciliation Adj EBITDA'!Y10</f>
        <v>3009</v>
      </c>
      <c r="Z6" s="100">
        <f>'Reconciliation Adj EBITDA'!Z10</f>
        <v>19301</v>
      </c>
      <c r="AA6" s="37">
        <f>'Reconciliation Adj EBITDA'!AA10</f>
        <v>3618</v>
      </c>
      <c r="AB6" s="37">
        <f>'Reconciliation Adj EBITDA'!AB10</f>
        <v>1572</v>
      </c>
      <c r="AC6" s="37">
        <f>'Reconciliation Adj EBITDA'!AC10</f>
        <v>3190</v>
      </c>
      <c r="AD6" s="37">
        <f>'Reconciliation Adj EBITDA'!AD10</f>
        <v>3662</v>
      </c>
      <c r="AE6" s="100">
        <f>'Reconciliation Adj EBITDA'!AE10</f>
        <v>12042</v>
      </c>
      <c r="AF6" s="37">
        <f>'Reconciliation Adj EBITDA'!AF10</f>
        <v>2369</v>
      </c>
      <c r="AG6" s="37">
        <f>'Reconciliation Adj EBITDA'!AG10</f>
        <v>3636</v>
      </c>
      <c r="AH6" s="37">
        <f>'Reconciliation Adj EBITDA'!AH10</f>
        <v>3875</v>
      </c>
      <c r="AI6" s="37">
        <f>'Reconciliation Adj EBITDA'!AI10</f>
        <v>3143</v>
      </c>
      <c r="AJ6" s="100">
        <f>'Reconciliation Adj EBITDA'!AJ10</f>
        <v>13023</v>
      </c>
      <c r="AK6" s="37">
        <f>'Reconciliation Adj EBITDA'!AK10</f>
        <v>2568</v>
      </c>
      <c r="AL6" s="37">
        <f>'Reconciliation Adj EBITDA'!AL10</f>
        <v>2550</v>
      </c>
      <c r="AM6" s="37">
        <f>'Reconciliation Adj EBITDA'!AM10</f>
        <v>4577</v>
      </c>
      <c r="AN6" s="37">
        <f>'Reconciliation Adj EBITDA'!AN10</f>
        <v>4505</v>
      </c>
      <c r="AO6" s="100">
        <f>'Reconciliation Adj EBITDA'!AO10</f>
        <v>14200</v>
      </c>
      <c r="AP6" s="37">
        <f>'Reconciliation Adj EBITDA'!AP10</f>
        <v>4740</v>
      </c>
      <c r="AQ6" s="37">
        <f>'Reconciliation Adj EBITDA'!AQ10</f>
        <v>5687</v>
      </c>
      <c r="AR6" s="37">
        <f>'Reconciliation Adj EBITDA'!AR10</f>
        <v>6387</v>
      </c>
      <c r="AS6" s="37">
        <f>'Reconciliation Adj EBITDA'!AS10</f>
        <v>4819</v>
      </c>
      <c r="AT6" s="100">
        <f>'Reconciliation Adj EBITDA'!AT10</f>
        <v>21633</v>
      </c>
      <c r="AU6" s="37">
        <f>'Reconciliation Adj EBITDA'!AU10</f>
        <v>5727</v>
      </c>
    </row>
    <row r="7" spans="1:47" ht="15" customHeight="1" x14ac:dyDescent="0.25">
      <c r="A7" s="21" t="s">
        <v>201</v>
      </c>
      <c r="B7" s="65">
        <f>'Reconciliation Adj EBITDA'!B11</f>
        <v>1385</v>
      </c>
      <c r="C7" s="65">
        <f>'Reconciliation Adj EBITDA'!C11</f>
        <v>1260</v>
      </c>
      <c r="D7" s="65">
        <f>'Reconciliation Adj EBITDA'!D11</f>
        <v>1171</v>
      </c>
      <c r="E7" s="65">
        <f>'Reconciliation Adj EBITDA'!E11</f>
        <v>1975</v>
      </c>
      <c r="F7" s="64">
        <f>'Reconciliation Adj EBITDA'!F11</f>
        <v>5791</v>
      </c>
      <c r="G7" s="65">
        <f>'Reconciliation Adj EBITDA'!G11</f>
        <v>2578</v>
      </c>
      <c r="H7" s="65">
        <f>'Reconciliation Adj EBITDA'!H11</f>
        <v>3028</v>
      </c>
      <c r="I7" s="65">
        <f>'Reconciliation Adj EBITDA'!I11</f>
        <v>4155</v>
      </c>
      <c r="J7" s="65">
        <f>'Reconciliation Adj EBITDA'!J11</f>
        <v>4553</v>
      </c>
      <c r="K7" s="64">
        <f>'Reconciliation Adj EBITDA'!K11</f>
        <v>14313</v>
      </c>
      <c r="L7" s="65">
        <f>'Reconciliation Adj EBITDA'!L11</f>
        <v>4314</v>
      </c>
      <c r="M7" s="37">
        <f>'Reconciliation Adj EBITDA'!M11</f>
        <v>4056</v>
      </c>
      <c r="N7" s="37">
        <f>'Reconciliation Adj EBITDA'!N11</f>
        <v>5770</v>
      </c>
      <c r="O7" s="37">
        <f>'Reconciliation Adj EBITDA'!O11</f>
        <v>5732</v>
      </c>
      <c r="P7" s="100">
        <f>'Reconciliation Adj EBITDA'!P11</f>
        <v>19872</v>
      </c>
      <c r="Q7" s="37">
        <f>'Reconciliation Adj EBITDA'!Q11</f>
        <v>6916</v>
      </c>
      <c r="R7" s="37">
        <f>'Reconciliation Adj EBITDA'!R11</f>
        <v>4806</v>
      </c>
      <c r="S7" s="37">
        <f>'Reconciliation Adj EBITDA'!S11</f>
        <v>5408</v>
      </c>
      <c r="T7" s="37">
        <f>'Reconciliation Adj EBITDA'!T11</f>
        <v>-531</v>
      </c>
      <c r="U7" s="100">
        <f>'Reconciliation Adj EBITDA'!U11</f>
        <v>16600</v>
      </c>
      <c r="V7" s="37">
        <f>'Reconciliation Adj EBITDA'!V11</f>
        <v>3656</v>
      </c>
      <c r="W7" s="37">
        <f>'Reconciliation Adj EBITDA'!W11</f>
        <v>4495</v>
      </c>
      <c r="X7" s="37">
        <f>'Reconciliation Adj EBITDA'!X11</f>
        <v>4142</v>
      </c>
      <c r="Y7" s="37">
        <f>'Reconciliation Adj EBITDA'!Y11</f>
        <v>2502</v>
      </c>
      <c r="Z7" s="100">
        <f>'Reconciliation Adj EBITDA'!Z11</f>
        <v>14795</v>
      </c>
      <c r="AA7" s="37">
        <f>'Reconciliation Adj EBITDA'!AA11</f>
        <v>2515</v>
      </c>
      <c r="AB7" s="37">
        <f>'Reconciliation Adj EBITDA'!AB11</f>
        <v>3519</v>
      </c>
      <c r="AC7" s="37">
        <f>'Reconciliation Adj EBITDA'!AC11</f>
        <v>280</v>
      </c>
      <c r="AD7" s="37">
        <f>'Reconciliation Adj EBITDA'!AD11</f>
        <v>2816</v>
      </c>
      <c r="AE7" s="100">
        <f>'Reconciliation Adj EBITDA'!AE11</f>
        <v>9130</v>
      </c>
      <c r="AF7" s="37">
        <f>'Reconciliation Adj EBITDA'!AF11</f>
        <v>3017</v>
      </c>
      <c r="AG7" s="37">
        <f>'Reconciliation Adj EBITDA'!AG11</f>
        <v>3815</v>
      </c>
      <c r="AH7" s="37">
        <f>'Reconciliation Adj EBITDA'!AH11</f>
        <v>4557</v>
      </c>
      <c r="AI7" s="37">
        <f>'Reconciliation Adj EBITDA'!AI11</f>
        <v>4209</v>
      </c>
      <c r="AJ7" s="100">
        <f>'Reconciliation Adj EBITDA'!AJ11</f>
        <v>15598</v>
      </c>
      <c r="AK7" s="37">
        <f>'Reconciliation Adj EBITDA'!AK11</f>
        <v>2955</v>
      </c>
      <c r="AL7" s="37">
        <f>'Reconciliation Adj EBITDA'!AL11</f>
        <v>3892</v>
      </c>
      <c r="AM7" s="37">
        <f>'Reconciliation Adj EBITDA'!AM11</f>
        <v>4886</v>
      </c>
      <c r="AN7" s="37">
        <f>'Reconciliation Adj EBITDA'!AN11</f>
        <v>2588</v>
      </c>
      <c r="AO7" s="100">
        <f>'Reconciliation Adj EBITDA'!AO11</f>
        <v>14321</v>
      </c>
      <c r="AP7" s="37">
        <f>'Reconciliation Adj EBITDA'!AP11</f>
        <v>4989</v>
      </c>
      <c r="AQ7" s="37">
        <f>'Reconciliation Adj EBITDA'!AQ11</f>
        <v>5805</v>
      </c>
      <c r="AR7" s="37">
        <f>'Reconciliation Adj EBITDA'!AR11</f>
        <v>5998</v>
      </c>
      <c r="AS7" s="37">
        <f>'Reconciliation Adj EBITDA'!AS11</f>
        <v>5719</v>
      </c>
      <c r="AT7" s="100">
        <f>'Reconciliation Adj EBITDA'!AT11</f>
        <v>22511</v>
      </c>
      <c r="AU7" s="37">
        <f>'Reconciliation Adj EBITDA'!AU11</f>
        <v>6971</v>
      </c>
    </row>
    <row r="8" spans="1:47" ht="14.1" customHeight="1" thickBot="1" x14ac:dyDescent="0.3">
      <c r="A8" s="22" t="s">
        <v>224</v>
      </c>
      <c r="B8" s="76">
        <f t="shared" ref="B8:F8" si="0">SUM(B5:B7)</f>
        <v>6317</v>
      </c>
      <c r="C8" s="76">
        <f t="shared" si="0"/>
        <v>5325</v>
      </c>
      <c r="D8" s="76">
        <f t="shared" si="0"/>
        <v>4600</v>
      </c>
      <c r="E8" s="76">
        <f t="shared" si="0"/>
        <v>7748</v>
      </c>
      <c r="F8" s="79">
        <f t="shared" si="0"/>
        <v>23989</v>
      </c>
      <c r="G8" s="76">
        <f>SUM(G5:G7)</f>
        <v>8370</v>
      </c>
      <c r="H8" s="76">
        <f>SUM(H5:H7)</f>
        <v>7695</v>
      </c>
      <c r="I8" s="76">
        <f>SUM(I5:I7)</f>
        <v>13965</v>
      </c>
      <c r="J8" s="76">
        <f t="shared" ref="J8:P8" si="1">SUM(J5:J7)</f>
        <v>13229</v>
      </c>
      <c r="K8" s="79">
        <f t="shared" si="1"/>
        <v>43259</v>
      </c>
      <c r="L8" s="76">
        <f t="shared" si="1"/>
        <v>14940</v>
      </c>
      <c r="M8" s="76">
        <f>SUM(M5:M7)</f>
        <v>14918</v>
      </c>
      <c r="N8" s="76">
        <f>SUM(N5:N7)</f>
        <v>22028</v>
      </c>
      <c r="O8" s="76">
        <f t="shared" si="1"/>
        <v>20464</v>
      </c>
      <c r="P8" s="137">
        <f t="shared" si="1"/>
        <v>72351</v>
      </c>
      <c r="Q8" s="76">
        <f>SUM(Q5:Q7)</f>
        <v>19303</v>
      </c>
      <c r="R8" s="76">
        <f>SUM(R5:R7)</f>
        <v>20245</v>
      </c>
      <c r="S8" s="76">
        <f>SUM(S5:S7)</f>
        <v>17261</v>
      </c>
      <c r="T8" s="76">
        <f t="shared" ref="T8:U8" si="2">SUM(T5:T7)</f>
        <v>10267</v>
      </c>
      <c r="U8" s="137">
        <f t="shared" si="2"/>
        <v>67076</v>
      </c>
      <c r="V8" s="76">
        <f>SUM(V5:V7)</f>
        <v>13882</v>
      </c>
      <c r="W8" s="76">
        <f>SUM(W5:W7)</f>
        <v>14391</v>
      </c>
      <c r="X8" s="76">
        <f>SUM(X5:X7)</f>
        <v>11770</v>
      </c>
      <c r="Y8" s="76">
        <f t="shared" ref="Y8:Z8" si="3">SUM(Y5:Y7)</f>
        <v>9089</v>
      </c>
      <c r="Z8" s="137">
        <f t="shared" si="3"/>
        <v>49132</v>
      </c>
      <c r="AA8" s="76">
        <f>SUM(AA5:AA7)</f>
        <v>8503</v>
      </c>
      <c r="AB8" s="76">
        <f>SUM(AB5:AB7)</f>
        <v>7159</v>
      </c>
      <c r="AC8" s="76">
        <f>SUM(AC5:AC7)</f>
        <v>6803</v>
      </c>
      <c r="AD8" s="76">
        <f t="shared" ref="AD8:AE8" si="4">SUM(AD5:AD7)</f>
        <v>8960</v>
      </c>
      <c r="AE8" s="137">
        <f t="shared" si="4"/>
        <v>31425</v>
      </c>
      <c r="AF8" s="76">
        <f>SUM(AF5:AF7)</f>
        <v>7882</v>
      </c>
      <c r="AG8" s="76">
        <f>SUM(AG5:AG7)</f>
        <v>11669</v>
      </c>
      <c r="AH8" s="76">
        <f>SUM(AH5:AH7)</f>
        <v>13290</v>
      </c>
      <c r="AI8" s="76">
        <f t="shared" ref="AI8:AJ8" si="5">SUM(AI5:AI7)</f>
        <v>12114</v>
      </c>
      <c r="AJ8" s="137">
        <f t="shared" si="5"/>
        <v>44955</v>
      </c>
      <c r="AK8" s="76">
        <f>SUM(AK5:AK7)</f>
        <v>9490</v>
      </c>
      <c r="AL8" s="76">
        <f>SUM(AL5:AL7)</f>
        <v>12020</v>
      </c>
      <c r="AM8" s="76">
        <f>SUM(AM5:AM7)</f>
        <v>21084</v>
      </c>
      <c r="AN8" s="76">
        <f t="shared" ref="AN8:AO8" si="6">SUM(AN5:AN7)</f>
        <v>22441</v>
      </c>
      <c r="AO8" s="137">
        <f t="shared" si="6"/>
        <v>65035</v>
      </c>
      <c r="AP8" s="76">
        <f>SUM(AP5:AP7)</f>
        <v>26065</v>
      </c>
      <c r="AQ8" s="76">
        <f>SUM(AQ5:AQ7)</f>
        <v>27831</v>
      </c>
      <c r="AR8" s="76">
        <f>SUM(AR5:AR7)</f>
        <v>24323</v>
      </c>
      <c r="AS8" s="76">
        <f t="shared" ref="AS8:AT8" si="7">SUM(AS5:AS7)</f>
        <v>21003</v>
      </c>
      <c r="AT8" s="137">
        <f t="shared" si="7"/>
        <v>99222</v>
      </c>
      <c r="AU8" s="76">
        <f>SUM(AU5:AU7)</f>
        <v>27292</v>
      </c>
    </row>
    <row r="9" spans="1:47" ht="15" customHeight="1" thickTop="1" x14ac:dyDescent="0.25">
      <c r="F9" s="9"/>
      <c r="K9" s="9"/>
      <c r="P9" s="95"/>
      <c r="U9" s="95"/>
      <c r="Z9" s="95"/>
      <c r="AE9" s="95"/>
      <c r="AJ9" s="95"/>
      <c r="AO9" s="95"/>
      <c r="AT9" s="95"/>
    </row>
    <row r="10" spans="1:47" ht="14.1" customHeight="1" x14ac:dyDescent="0.25">
      <c r="A10" s="18" t="s">
        <v>202</v>
      </c>
      <c r="F10" s="9"/>
      <c r="K10" s="9"/>
      <c r="P10" s="95"/>
      <c r="U10" s="95"/>
      <c r="Z10" s="95"/>
      <c r="AE10" s="95"/>
      <c r="AJ10" s="95"/>
      <c r="AO10" s="95"/>
      <c r="AT10" s="95"/>
    </row>
    <row r="11" spans="1:47" ht="15" customHeight="1" x14ac:dyDescent="0.25">
      <c r="A11" s="21" t="s">
        <v>199</v>
      </c>
      <c r="B11" s="37">
        <f>'Reconciliation Adj EBITDA'!B13</f>
        <v>42</v>
      </c>
      <c r="C11" s="37">
        <f>'Reconciliation Adj EBITDA'!C13</f>
        <v>40</v>
      </c>
      <c r="D11" s="37">
        <f>'Reconciliation Adj EBITDA'!D13</f>
        <v>41</v>
      </c>
      <c r="E11" s="37">
        <f>'Reconciliation Adj EBITDA'!E13</f>
        <v>40</v>
      </c>
      <c r="F11" s="48">
        <f>'Reconciliation Adj EBITDA'!F13</f>
        <v>163</v>
      </c>
      <c r="G11" s="37">
        <f>'Reconciliation Adj EBITDA'!G13</f>
        <v>52</v>
      </c>
      <c r="H11" s="37">
        <f>'Reconciliation Adj EBITDA'!H13</f>
        <v>53</v>
      </c>
      <c r="I11" s="37">
        <f>'Reconciliation Adj EBITDA'!I13</f>
        <v>55</v>
      </c>
      <c r="J11" s="37">
        <f>'Reconciliation Adj EBITDA'!J13</f>
        <v>52</v>
      </c>
      <c r="K11" s="48">
        <f>'Reconciliation Adj EBITDA'!K13</f>
        <v>211</v>
      </c>
      <c r="L11" s="37">
        <f>'Reconciliation Adj EBITDA'!L13</f>
        <v>146</v>
      </c>
      <c r="M11" s="37">
        <f>'Reconciliation Adj EBITDA'!M13</f>
        <v>151</v>
      </c>
      <c r="N11" s="37">
        <f>'Reconciliation Adj EBITDA'!N13</f>
        <v>161</v>
      </c>
      <c r="O11" s="37">
        <f>'Reconciliation Adj EBITDA'!O13</f>
        <v>162</v>
      </c>
      <c r="P11" s="100">
        <f>'Reconciliation Adj EBITDA'!P13</f>
        <v>621</v>
      </c>
      <c r="Q11" s="37">
        <f>'Reconciliation Adj EBITDA'!Q13</f>
        <v>220</v>
      </c>
      <c r="R11" s="37">
        <f>'Reconciliation Adj EBITDA'!R13</f>
        <v>212</v>
      </c>
      <c r="S11" s="37">
        <f>'Reconciliation Adj EBITDA'!S13</f>
        <v>208</v>
      </c>
      <c r="T11" s="37">
        <f>'Reconciliation Adj EBITDA'!T13</f>
        <v>204</v>
      </c>
      <c r="U11" s="100">
        <f>'Reconciliation Adj EBITDA'!U13</f>
        <v>844</v>
      </c>
      <c r="V11" s="37">
        <f>'Reconciliation Adj EBITDA'!V13</f>
        <v>193</v>
      </c>
      <c r="W11" s="37">
        <f>'Reconciliation Adj EBITDA'!W13</f>
        <v>191</v>
      </c>
      <c r="X11" s="37">
        <f>'Reconciliation Adj EBITDA'!X13</f>
        <v>188</v>
      </c>
      <c r="Y11" s="37">
        <f>'Reconciliation Adj EBITDA'!Y13</f>
        <v>188</v>
      </c>
      <c r="Z11" s="100">
        <f>'Reconciliation Adj EBITDA'!Z13</f>
        <v>760</v>
      </c>
      <c r="AA11" s="37">
        <f>'Reconciliation Adj EBITDA'!AA13</f>
        <v>269</v>
      </c>
      <c r="AB11" s="37">
        <f>'Reconciliation Adj EBITDA'!AB13</f>
        <v>269</v>
      </c>
      <c r="AC11" s="37">
        <f>'Reconciliation Adj EBITDA'!AC13</f>
        <v>286</v>
      </c>
      <c r="AD11" s="37">
        <f>'Reconciliation Adj EBITDA'!AD13</f>
        <v>290</v>
      </c>
      <c r="AE11" s="100">
        <f>'Reconciliation Adj EBITDA'!AE13</f>
        <v>1114</v>
      </c>
      <c r="AF11" s="37">
        <f>'Reconciliation Adj EBITDA'!AF13</f>
        <v>175</v>
      </c>
      <c r="AG11" s="37">
        <f>'Reconciliation Adj EBITDA'!AG13</f>
        <v>175</v>
      </c>
      <c r="AH11" s="37">
        <f>'Reconciliation Adj EBITDA'!AH13</f>
        <v>170</v>
      </c>
      <c r="AI11" s="37">
        <f>'Reconciliation Adj EBITDA'!AI13</f>
        <v>166</v>
      </c>
      <c r="AJ11" s="100">
        <f>'Reconciliation Adj EBITDA'!AJ13</f>
        <v>686</v>
      </c>
      <c r="AK11" s="37">
        <f>'Reconciliation Adj EBITDA'!AK13</f>
        <v>142</v>
      </c>
      <c r="AL11" s="37">
        <f>'Reconciliation Adj EBITDA'!AL13</f>
        <v>136</v>
      </c>
      <c r="AM11" s="37">
        <f>'Reconciliation Adj EBITDA'!AM13</f>
        <v>130</v>
      </c>
      <c r="AN11" s="37">
        <f>'Reconciliation Adj EBITDA'!AN13</f>
        <v>483</v>
      </c>
      <c r="AO11" s="100">
        <f>'Reconciliation Adj EBITDA'!AO13</f>
        <v>891</v>
      </c>
      <c r="AP11" s="37">
        <f>'Reconciliation Adj EBITDA'!AP13</f>
        <v>92</v>
      </c>
      <c r="AQ11" s="37">
        <f>'Reconciliation Adj EBITDA'!AQ13</f>
        <v>94</v>
      </c>
      <c r="AR11" s="37">
        <f>'Reconciliation Adj EBITDA'!AR13</f>
        <v>95</v>
      </c>
      <c r="AS11" s="37">
        <f>'Reconciliation Adj EBITDA'!AS13</f>
        <v>-18</v>
      </c>
      <c r="AT11" s="100">
        <f>'Reconciliation Adj EBITDA'!AT13</f>
        <v>263</v>
      </c>
      <c r="AU11" s="37">
        <f>'Reconciliation Adj EBITDA'!AU13</f>
        <v>91</v>
      </c>
    </row>
    <row r="12" spans="1:47" ht="15" customHeight="1" x14ac:dyDescent="0.25">
      <c r="A12" s="21" t="s">
        <v>200</v>
      </c>
      <c r="B12" s="37">
        <f>'Reconciliation Adj EBITDA'!B14</f>
        <v>39</v>
      </c>
      <c r="C12" s="37">
        <f>'Reconciliation Adj EBITDA'!C14</f>
        <v>39</v>
      </c>
      <c r="D12" s="37">
        <f>'Reconciliation Adj EBITDA'!D14</f>
        <v>37</v>
      </c>
      <c r="E12" s="37">
        <f>'Reconciliation Adj EBITDA'!E14</f>
        <v>38</v>
      </c>
      <c r="F12" s="48">
        <f>'Reconciliation Adj EBITDA'!F14</f>
        <v>153</v>
      </c>
      <c r="G12" s="37">
        <f>'Reconciliation Adj EBITDA'!G14</f>
        <v>34</v>
      </c>
      <c r="H12" s="37">
        <f>'Reconciliation Adj EBITDA'!H14</f>
        <v>35</v>
      </c>
      <c r="I12" s="37">
        <f>'Reconciliation Adj EBITDA'!I14</f>
        <v>38</v>
      </c>
      <c r="J12" s="37">
        <f>'Reconciliation Adj EBITDA'!J14</f>
        <v>37</v>
      </c>
      <c r="K12" s="48">
        <f>'Reconciliation Adj EBITDA'!K14</f>
        <v>144</v>
      </c>
      <c r="L12" s="37">
        <f>'Reconciliation Adj EBITDA'!L14</f>
        <v>59</v>
      </c>
      <c r="M12" s="37">
        <f>'Reconciliation Adj EBITDA'!M14</f>
        <v>60</v>
      </c>
      <c r="N12" s="37">
        <f>'Reconciliation Adj EBITDA'!N14</f>
        <v>65</v>
      </c>
      <c r="O12" s="37">
        <f>'Reconciliation Adj EBITDA'!O14</f>
        <v>63</v>
      </c>
      <c r="P12" s="100">
        <f>'Reconciliation Adj EBITDA'!P14</f>
        <v>247</v>
      </c>
      <c r="Q12" s="37">
        <f>'Reconciliation Adj EBITDA'!Q14</f>
        <v>79</v>
      </c>
      <c r="R12" s="37">
        <f>'Reconciliation Adj EBITDA'!R14</f>
        <v>75</v>
      </c>
      <c r="S12" s="37">
        <f>'Reconciliation Adj EBITDA'!S14</f>
        <v>83</v>
      </c>
      <c r="T12" s="37">
        <f>'Reconciliation Adj EBITDA'!T14</f>
        <v>88</v>
      </c>
      <c r="U12" s="100">
        <f>'Reconciliation Adj EBITDA'!U14</f>
        <v>325</v>
      </c>
      <c r="V12" s="37">
        <f>'Reconciliation Adj EBITDA'!V14</f>
        <v>72</v>
      </c>
      <c r="W12" s="37">
        <f>'Reconciliation Adj EBITDA'!W14</f>
        <v>71</v>
      </c>
      <c r="X12" s="37">
        <f>'Reconciliation Adj EBITDA'!X14</f>
        <v>71</v>
      </c>
      <c r="Y12" s="37">
        <f>'Reconciliation Adj EBITDA'!Y14</f>
        <v>69</v>
      </c>
      <c r="Z12" s="100">
        <f>'Reconciliation Adj EBITDA'!Z14</f>
        <v>283</v>
      </c>
      <c r="AA12" s="37">
        <f>'Reconciliation Adj EBITDA'!AA14</f>
        <v>95</v>
      </c>
      <c r="AB12" s="37">
        <f>'Reconciliation Adj EBITDA'!AB14</f>
        <v>95</v>
      </c>
      <c r="AC12" s="37">
        <f>'Reconciliation Adj EBITDA'!AC14</f>
        <v>101</v>
      </c>
      <c r="AD12" s="37">
        <f>'Reconciliation Adj EBITDA'!AD14</f>
        <v>103</v>
      </c>
      <c r="AE12" s="100">
        <f>'Reconciliation Adj EBITDA'!AE14</f>
        <v>394</v>
      </c>
      <c r="AF12" s="37">
        <f>'Reconciliation Adj EBITDA'!AF14</f>
        <v>53</v>
      </c>
      <c r="AG12" s="37">
        <f>'Reconciliation Adj EBITDA'!AG14</f>
        <v>53</v>
      </c>
      <c r="AH12" s="37">
        <f>'Reconciliation Adj EBITDA'!AH14</f>
        <v>52</v>
      </c>
      <c r="AI12" s="37">
        <f>'Reconciliation Adj EBITDA'!AI14</f>
        <v>49</v>
      </c>
      <c r="AJ12" s="100">
        <f>'Reconciliation Adj EBITDA'!AJ14</f>
        <v>207</v>
      </c>
      <c r="AK12" s="37">
        <f>'Reconciliation Adj EBITDA'!AK14</f>
        <v>40</v>
      </c>
      <c r="AL12" s="37">
        <f>'Reconciliation Adj EBITDA'!AL14</f>
        <v>39</v>
      </c>
      <c r="AM12" s="37">
        <f>'Reconciliation Adj EBITDA'!AM14</f>
        <v>40</v>
      </c>
      <c r="AN12" s="37">
        <f>'Reconciliation Adj EBITDA'!AN14</f>
        <v>220</v>
      </c>
      <c r="AO12" s="100">
        <f>'Reconciliation Adj EBITDA'!AO14</f>
        <v>339</v>
      </c>
      <c r="AP12" s="37">
        <f>'Reconciliation Adj EBITDA'!AP14</f>
        <v>28</v>
      </c>
      <c r="AQ12" s="37">
        <f>'Reconciliation Adj EBITDA'!AQ14</f>
        <v>27</v>
      </c>
      <c r="AR12" s="37">
        <f>'Reconciliation Adj EBITDA'!AR14</f>
        <v>28</v>
      </c>
      <c r="AS12" s="37">
        <f>'Reconciliation Adj EBITDA'!AS14</f>
        <v>-132</v>
      </c>
      <c r="AT12" s="100">
        <f>'Reconciliation Adj EBITDA'!AT14</f>
        <v>-49</v>
      </c>
      <c r="AU12" s="37">
        <f>'Reconciliation Adj EBITDA'!AU14</f>
        <v>26</v>
      </c>
    </row>
    <row r="13" spans="1:47" ht="15" customHeight="1" x14ac:dyDescent="0.25">
      <c r="A13" s="21" t="s">
        <v>201</v>
      </c>
      <c r="B13" s="37">
        <f>'Reconciliation Adj EBITDA'!B15</f>
        <v>31</v>
      </c>
      <c r="C13" s="37">
        <f>'Reconciliation Adj EBITDA'!C15</f>
        <v>31</v>
      </c>
      <c r="D13" s="37">
        <f>'Reconciliation Adj EBITDA'!D15</f>
        <v>32</v>
      </c>
      <c r="E13" s="37">
        <f>'Reconciliation Adj EBITDA'!E15</f>
        <v>31</v>
      </c>
      <c r="F13" s="48">
        <f>'Reconciliation Adj EBITDA'!F15</f>
        <v>125</v>
      </c>
      <c r="G13" s="37">
        <f>'Reconciliation Adj EBITDA'!G15</f>
        <v>43</v>
      </c>
      <c r="H13" s="37">
        <f>'Reconciliation Adj EBITDA'!H15</f>
        <v>43</v>
      </c>
      <c r="I13" s="37">
        <f>'Reconciliation Adj EBITDA'!I15</f>
        <v>39</v>
      </c>
      <c r="J13" s="37">
        <f>'Reconciliation Adj EBITDA'!J15</f>
        <v>44</v>
      </c>
      <c r="K13" s="48">
        <f>'Reconciliation Adj EBITDA'!K15</f>
        <v>169</v>
      </c>
      <c r="L13" s="37">
        <f>'Reconciliation Adj EBITDA'!L15</f>
        <v>85</v>
      </c>
      <c r="M13" s="37">
        <f>'Reconciliation Adj EBITDA'!M15</f>
        <v>88</v>
      </c>
      <c r="N13" s="37">
        <f>'Reconciliation Adj EBITDA'!N15</f>
        <v>94</v>
      </c>
      <c r="O13" s="37">
        <f>'Reconciliation Adj EBITDA'!O15</f>
        <v>96</v>
      </c>
      <c r="P13" s="100">
        <f>'Reconciliation Adj EBITDA'!P15</f>
        <v>363</v>
      </c>
      <c r="Q13" s="37">
        <f>'Reconciliation Adj EBITDA'!Q15</f>
        <v>135</v>
      </c>
      <c r="R13" s="37">
        <f>'Reconciliation Adj EBITDA'!R15</f>
        <v>132</v>
      </c>
      <c r="S13" s="37">
        <f>'Reconciliation Adj EBITDA'!S15</f>
        <v>128</v>
      </c>
      <c r="T13" s="37">
        <f>'Reconciliation Adj EBITDA'!T15</f>
        <v>127</v>
      </c>
      <c r="U13" s="100">
        <f>'Reconciliation Adj EBITDA'!U15</f>
        <v>522</v>
      </c>
      <c r="V13" s="37">
        <f>'Reconciliation Adj EBITDA'!V15</f>
        <v>129</v>
      </c>
      <c r="W13" s="37">
        <f>'Reconciliation Adj EBITDA'!W15</f>
        <v>129</v>
      </c>
      <c r="X13" s="37">
        <f>'Reconciliation Adj EBITDA'!X15</f>
        <v>129</v>
      </c>
      <c r="Y13" s="37">
        <f>'Reconciliation Adj EBITDA'!Y15</f>
        <v>126</v>
      </c>
      <c r="Z13" s="100">
        <f>'Reconciliation Adj EBITDA'!Z15</f>
        <v>513</v>
      </c>
      <c r="AA13" s="37">
        <f>'Reconciliation Adj EBITDA'!AA15</f>
        <v>174</v>
      </c>
      <c r="AB13" s="37">
        <f>'Reconciliation Adj EBITDA'!AB15</f>
        <v>175</v>
      </c>
      <c r="AC13" s="37">
        <f>'Reconciliation Adj EBITDA'!AC15</f>
        <v>185</v>
      </c>
      <c r="AD13" s="37">
        <f>'Reconciliation Adj EBITDA'!AD15</f>
        <v>190</v>
      </c>
      <c r="AE13" s="100">
        <f>'Reconciliation Adj EBITDA'!AE15</f>
        <v>724</v>
      </c>
      <c r="AF13" s="37">
        <f>'Reconciliation Adj EBITDA'!AF15</f>
        <v>110</v>
      </c>
      <c r="AG13" s="37">
        <f>'Reconciliation Adj EBITDA'!AG15</f>
        <v>109</v>
      </c>
      <c r="AH13" s="37">
        <f>'Reconciliation Adj EBITDA'!AH15</f>
        <v>108</v>
      </c>
      <c r="AI13" s="37">
        <f>'Reconciliation Adj EBITDA'!AI15</f>
        <v>104</v>
      </c>
      <c r="AJ13" s="100">
        <f>'Reconciliation Adj EBITDA'!AJ15</f>
        <v>431</v>
      </c>
      <c r="AK13" s="37">
        <f>'Reconciliation Adj EBITDA'!AK15</f>
        <v>93</v>
      </c>
      <c r="AL13" s="37">
        <f>'Reconciliation Adj EBITDA'!AL15</f>
        <v>89</v>
      </c>
      <c r="AM13" s="37">
        <f>'Reconciliation Adj EBITDA'!AM15</f>
        <v>77</v>
      </c>
      <c r="AN13" s="37">
        <f>'Reconciliation Adj EBITDA'!AN15</f>
        <v>267</v>
      </c>
      <c r="AO13" s="100">
        <f>'Reconciliation Adj EBITDA'!AO15</f>
        <v>526</v>
      </c>
      <c r="AP13" s="37">
        <f>'Reconciliation Adj EBITDA'!AP15</f>
        <v>56</v>
      </c>
      <c r="AQ13" s="37">
        <f>'Reconciliation Adj EBITDA'!AQ15</f>
        <v>56</v>
      </c>
      <c r="AR13" s="37">
        <f>'Reconciliation Adj EBITDA'!AR15</f>
        <v>56</v>
      </c>
      <c r="AS13" s="37">
        <f>'Reconciliation Adj EBITDA'!AS15</f>
        <v>19</v>
      </c>
      <c r="AT13" s="100">
        <f>'Reconciliation Adj EBITDA'!AT15</f>
        <v>187</v>
      </c>
      <c r="AU13" s="37">
        <f>'Reconciliation Adj EBITDA'!AU15</f>
        <v>55</v>
      </c>
    </row>
    <row r="14" spans="1:47" ht="14.1" customHeight="1" thickBot="1" x14ac:dyDescent="0.3">
      <c r="A14" s="22" t="s">
        <v>225</v>
      </c>
      <c r="B14" s="76">
        <f t="shared" ref="B14:F14" si="8">SUM(B11:B13)</f>
        <v>112</v>
      </c>
      <c r="C14" s="76">
        <f t="shared" si="8"/>
        <v>110</v>
      </c>
      <c r="D14" s="76">
        <f t="shared" si="8"/>
        <v>110</v>
      </c>
      <c r="E14" s="76">
        <f t="shared" si="8"/>
        <v>109</v>
      </c>
      <c r="F14" s="79">
        <f t="shared" si="8"/>
        <v>441</v>
      </c>
      <c r="G14" s="76">
        <f>SUM(G11:G13)</f>
        <v>129</v>
      </c>
      <c r="H14" s="76">
        <f>SUM(H11:H13)</f>
        <v>131</v>
      </c>
      <c r="I14" s="76">
        <f>SUM(I11:I13)</f>
        <v>132</v>
      </c>
      <c r="J14" s="76">
        <f>SUM(J11:J13)</f>
        <v>133</v>
      </c>
      <c r="K14" s="79">
        <f t="shared" ref="K14:Q14" si="9">SUM(K11:K13)</f>
        <v>524</v>
      </c>
      <c r="L14" s="76">
        <f t="shared" si="9"/>
        <v>290</v>
      </c>
      <c r="M14" s="76">
        <f>SUM(M11:M13)</f>
        <v>299</v>
      </c>
      <c r="N14" s="76">
        <f>SUM(N11:N13)</f>
        <v>320</v>
      </c>
      <c r="O14" s="76">
        <f t="shared" si="9"/>
        <v>321</v>
      </c>
      <c r="P14" s="137">
        <f t="shared" si="9"/>
        <v>1231</v>
      </c>
      <c r="Q14" s="76">
        <f t="shared" si="9"/>
        <v>434</v>
      </c>
      <c r="R14" s="76">
        <f t="shared" ref="R14:V14" si="10">SUM(R11:R13)</f>
        <v>419</v>
      </c>
      <c r="S14" s="76">
        <f t="shared" si="10"/>
        <v>419</v>
      </c>
      <c r="T14" s="76">
        <f t="shared" si="10"/>
        <v>419</v>
      </c>
      <c r="U14" s="137">
        <f t="shared" si="10"/>
        <v>1691</v>
      </c>
      <c r="V14" s="76">
        <f t="shared" si="10"/>
        <v>394</v>
      </c>
      <c r="W14" s="76">
        <f t="shared" ref="W14:AA14" si="11">SUM(W11:W13)</f>
        <v>391</v>
      </c>
      <c r="X14" s="76">
        <f t="shared" si="11"/>
        <v>388</v>
      </c>
      <c r="Y14" s="76">
        <f t="shared" si="11"/>
        <v>383</v>
      </c>
      <c r="Z14" s="137">
        <f t="shared" si="11"/>
        <v>1556</v>
      </c>
      <c r="AA14" s="76">
        <f t="shared" si="11"/>
        <v>538</v>
      </c>
      <c r="AB14" s="76">
        <f t="shared" ref="AB14:AF14" si="12">SUM(AB11:AB13)</f>
        <v>539</v>
      </c>
      <c r="AC14" s="76">
        <f t="shared" si="12"/>
        <v>572</v>
      </c>
      <c r="AD14" s="76">
        <f t="shared" si="12"/>
        <v>583</v>
      </c>
      <c r="AE14" s="137">
        <f t="shared" si="12"/>
        <v>2232</v>
      </c>
      <c r="AF14" s="76">
        <f t="shared" si="12"/>
        <v>338</v>
      </c>
      <c r="AG14" s="76">
        <f t="shared" ref="AG14:AK14" si="13">SUM(AG11:AG13)</f>
        <v>337</v>
      </c>
      <c r="AH14" s="76">
        <f t="shared" si="13"/>
        <v>330</v>
      </c>
      <c r="AI14" s="76">
        <f t="shared" si="13"/>
        <v>319</v>
      </c>
      <c r="AJ14" s="137">
        <f t="shared" si="13"/>
        <v>1324</v>
      </c>
      <c r="AK14" s="76">
        <f t="shared" si="13"/>
        <v>275</v>
      </c>
      <c r="AL14" s="76">
        <f t="shared" ref="AL14" si="14">SUM(AL11:AL13)</f>
        <v>264</v>
      </c>
      <c r="AM14" s="76">
        <f>SUM(AM11:AM13)</f>
        <v>247</v>
      </c>
      <c r="AN14" s="76">
        <f t="shared" ref="AN14:AQ14" si="15">SUM(AN11:AN13)</f>
        <v>970</v>
      </c>
      <c r="AO14" s="137">
        <f t="shared" si="15"/>
        <v>1756</v>
      </c>
      <c r="AP14" s="76">
        <f t="shared" si="15"/>
        <v>176</v>
      </c>
      <c r="AQ14" s="76">
        <f t="shared" si="15"/>
        <v>177</v>
      </c>
      <c r="AR14" s="76">
        <f>SUM(AR11:AR13)</f>
        <v>179</v>
      </c>
      <c r="AS14" s="76">
        <f t="shared" ref="AS14:AU14" si="16">SUM(AS11:AS13)</f>
        <v>-131</v>
      </c>
      <c r="AT14" s="137">
        <f t="shared" si="16"/>
        <v>401</v>
      </c>
      <c r="AU14" s="76">
        <f t="shared" si="16"/>
        <v>172</v>
      </c>
    </row>
    <row r="15" spans="1:47" ht="15" customHeight="1" thickTop="1" x14ac:dyDescent="0.25">
      <c r="F15" s="9"/>
      <c r="K15" s="9"/>
      <c r="P15" s="95"/>
      <c r="U15" s="95"/>
      <c r="Z15" s="95"/>
      <c r="AE15" s="95"/>
      <c r="AJ15" s="95"/>
      <c r="AO15" s="95"/>
      <c r="AT15" s="95"/>
    </row>
    <row r="16" spans="1:47" ht="14.1" customHeight="1" x14ac:dyDescent="0.25">
      <c r="A16" s="18" t="s">
        <v>203</v>
      </c>
      <c r="F16" s="9"/>
      <c r="K16" s="9"/>
      <c r="P16" s="95"/>
      <c r="U16" s="95"/>
      <c r="Z16" s="95"/>
      <c r="AE16" s="95"/>
      <c r="AJ16" s="95"/>
      <c r="AO16" s="95"/>
      <c r="AT16" s="95"/>
    </row>
    <row r="17" spans="1:47" ht="15" customHeight="1" x14ac:dyDescent="0.25">
      <c r="A17" s="21" t="s">
        <v>107</v>
      </c>
      <c r="B17" s="37">
        <f>'Reconciliation Adj EBITDA'!B17</f>
        <v>5971</v>
      </c>
      <c r="C17" s="37">
        <f>'Reconciliation Adj EBITDA'!C17</f>
        <v>6813</v>
      </c>
      <c r="D17" s="37">
        <f>'Reconciliation Adj EBITDA'!D17</f>
        <v>8503</v>
      </c>
      <c r="E17" s="37">
        <f>'Reconciliation Adj EBITDA'!E17</f>
        <v>8579</v>
      </c>
      <c r="F17" s="48">
        <f>'Reconciliation Adj EBITDA'!F17</f>
        <v>29866</v>
      </c>
      <c r="G17" s="37">
        <f>'Reconciliation Adj EBITDA'!G17</f>
        <v>8220</v>
      </c>
      <c r="H17" s="37">
        <f>'Reconciliation Adj EBITDA'!H17</f>
        <v>9220</v>
      </c>
      <c r="I17" s="37">
        <f>'Reconciliation Adj EBITDA'!I17</f>
        <v>10406</v>
      </c>
      <c r="J17" s="37">
        <f>'Reconciliation Adj EBITDA'!J17</f>
        <v>10623</v>
      </c>
      <c r="K17" s="48">
        <f>'Reconciliation Adj EBITDA'!K17</f>
        <v>38469</v>
      </c>
      <c r="L17" s="37">
        <f>'Reconciliation Adj EBITDA'!L17</f>
        <v>11091</v>
      </c>
      <c r="M17" s="37">
        <f>'Reconciliation Adj EBITDA'!M17</f>
        <v>13003</v>
      </c>
      <c r="N17" s="37">
        <f>'Reconciliation Adj EBITDA'!N17</f>
        <v>14320</v>
      </c>
      <c r="O17" s="37">
        <f>'Reconciliation Adj EBITDA'!O17</f>
        <v>15575</v>
      </c>
      <c r="P17" s="100">
        <f>'Reconciliation Adj EBITDA'!P17</f>
        <v>53988</v>
      </c>
      <c r="Q17" s="37">
        <f>'Reconciliation Adj EBITDA'!Q17</f>
        <v>15249</v>
      </c>
      <c r="R17" s="37">
        <f>'Reconciliation Adj EBITDA'!R17</f>
        <v>15050</v>
      </c>
      <c r="S17" s="37">
        <f>'Reconciliation Adj EBITDA'!S17</f>
        <v>16571</v>
      </c>
      <c r="T17" s="37">
        <f>'Reconciliation Adj EBITDA'!T17</f>
        <v>20477</v>
      </c>
      <c r="U17" s="100">
        <f>'Reconciliation Adj EBITDA'!U17</f>
        <v>67347</v>
      </c>
      <c r="V17" s="37">
        <f>'Reconciliation Adj EBITDA'!V17</f>
        <v>9135</v>
      </c>
      <c r="W17" s="37">
        <f>'Reconciliation Adj EBITDA'!W17</f>
        <v>10847</v>
      </c>
      <c r="X17" s="37">
        <f>'Reconciliation Adj EBITDA'!X17</f>
        <v>12193</v>
      </c>
      <c r="Y17" s="37">
        <f>'Reconciliation Adj EBITDA'!Y17</f>
        <v>12691</v>
      </c>
      <c r="Z17" s="100">
        <f>'Reconciliation Adj EBITDA'!Z17</f>
        <v>44866</v>
      </c>
      <c r="AA17" s="37">
        <f>'Reconciliation Adj EBITDA'!AA17</f>
        <v>12771</v>
      </c>
      <c r="AB17" s="37">
        <f>'Reconciliation Adj EBITDA'!AB17</f>
        <v>13098</v>
      </c>
      <c r="AC17" s="37">
        <f>'Reconciliation Adj EBITDA'!AC17</f>
        <v>14712</v>
      </c>
      <c r="AD17" s="37">
        <f>'Reconciliation Adj EBITDA'!AD17</f>
        <v>15354</v>
      </c>
      <c r="AE17" s="100">
        <f>'Reconciliation Adj EBITDA'!AE17</f>
        <v>55935</v>
      </c>
      <c r="AF17" s="37">
        <f>'Reconciliation Adj EBITDA'!AF17</f>
        <v>15244</v>
      </c>
      <c r="AG17" s="37">
        <f>'Reconciliation Adj EBITDA'!AG17</f>
        <v>15744</v>
      </c>
      <c r="AH17" s="37">
        <f>'Reconciliation Adj EBITDA'!AH17</f>
        <v>15520</v>
      </c>
      <c r="AI17" s="37">
        <f>'Reconciliation Adj EBITDA'!AI17</f>
        <v>14611</v>
      </c>
      <c r="AJ17" s="100">
        <f>'Reconciliation Adj EBITDA'!AJ17</f>
        <v>61119</v>
      </c>
      <c r="AK17" s="37">
        <f>'Reconciliation Adj EBITDA'!AK17</f>
        <v>14632</v>
      </c>
      <c r="AL17" s="37">
        <f>'Reconciliation Adj EBITDA'!AL17</f>
        <v>12625</v>
      </c>
      <c r="AM17" s="37">
        <f>'Reconciliation Adj EBITDA'!AM17</f>
        <v>11972</v>
      </c>
      <c r="AN17" s="37">
        <f>'Reconciliation Adj EBITDA'!AN17</f>
        <v>11653</v>
      </c>
      <c r="AO17" s="100">
        <f>'Reconciliation Adj EBITDA'!AO17</f>
        <v>50882</v>
      </c>
      <c r="AP17" s="37">
        <f>'Reconciliation Adj EBITDA'!AP17</f>
        <v>11658</v>
      </c>
      <c r="AQ17" s="37">
        <f>'Reconciliation Adj EBITDA'!AQ17</f>
        <v>13463</v>
      </c>
      <c r="AR17" s="37">
        <f>'Reconciliation Adj EBITDA'!AR17</f>
        <v>11449</v>
      </c>
      <c r="AS17" s="37">
        <f>'Reconciliation Adj EBITDA'!AS17</f>
        <v>9204</v>
      </c>
      <c r="AT17" s="100">
        <f>'Reconciliation Adj EBITDA'!AT17</f>
        <v>45774</v>
      </c>
      <c r="AU17" s="37">
        <f>'Reconciliation Adj EBITDA'!AU17</f>
        <v>8904</v>
      </c>
    </row>
    <row r="18" spans="1:47" ht="15" customHeight="1" x14ac:dyDescent="0.25">
      <c r="A18" s="21" t="s">
        <v>199</v>
      </c>
      <c r="B18" s="37">
        <f>'Reconciliation Adj EBITDA'!B18</f>
        <v>1144</v>
      </c>
      <c r="C18" s="37">
        <f>'Reconciliation Adj EBITDA'!C18</f>
        <v>1977</v>
      </c>
      <c r="D18" s="37">
        <f>'Reconciliation Adj EBITDA'!D18</f>
        <v>1690</v>
      </c>
      <c r="E18" s="37">
        <f>'Reconciliation Adj EBITDA'!E18</f>
        <v>3183</v>
      </c>
      <c r="F18" s="48">
        <f>'Reconciliation Adj EBITDA'!F18</f>
        <v>7995</v>
      </c>
      <c r="G18" s="37">
        <f>'Reconciliation Adj EBITDA'!G18</f>
        <v>2007</v>
      </c>
      <c r="H18" s="37">
        <f>'Reconciliation Adj EBITDA'!H18</f>
        <v>1457</v>
      </c>
      <c r="I18" s="37">
        <f>'Reconciliation Adj EBITDA'!I18</f>
        <v>1640</v>
      </c>
      <c r="J18" s="37">
        <f>'Reconciliation Adj EBITDA'!J18</f>
        <v>2106</v>
      </c>
      <c r="K18" s="48">
        <f>'Reconciliation Adj EBITDA'!K18</f>
        <v>7211</v>
      </c>
      <c r="L18" s="37">
        <f>'Reconciliation Adj EBITDA'!L18</f>
        <v>2944</v>
      </c>
      <c r="M18" s="37">
        <f>'Reconciliation Adj EBITDA'!M18</f>
        <v>3092</v>
      </c>
      <c r="N18" s="37">
        <f>'Reconciliation Adj EBITDA'!N18</f>
        <v>2822</v>
      </c>
      <c r="O18" s="37">
        <f>'Reconciliation Adj EBITDA'!O18</f>
        <v>2369</v>
      </c>
      <c r="P18" s="100">
        <f>'Reconciliation Adj EBITDA'!P18</f>
        <v>11226</v>
      </c>
      <c r="Q18" s="37">
        <f>'Reconciliation Adj EBITDA'!Q18</f>
        <v>2221</v>
      </c>
      <c r="R18" s="37">
        <f>'Reconciliation Adj EBITDA'!R18</f>
        <v>2245</v>
      </c>
      <c r="S18" s="37">
        <f>'Reconciliation Adj EBITDA'!S18</f>
        <v>2724</v>
      </c>
      <c r="T18" s="37">
        <f>'Reconciliation Adj EBITDA'!T18</f>
        <v>3412</v>
      </c>
      <c r="U18" s="100">
        <f>'Reconciliation Adj EBITDA'!U18</f>
        <v>10602</v>
      </c>
      <c r="V18" s="37">
        <f>'Reconciliation Adj EBITDA'!V18</f>
        <v>3477</v>
      </c>
      <c r="W18" s="37">
        <f>'Reconciliation Adj EBITDA'!W18</f>
        <v>3534</v>
      </c>
      <c r="X18" s="37">
        <f>'Reconciliation Adj EBITDA'!X18</f>
        <v>4249</v>
      </c>
      <c r="Y18" s="37">
        <f>'Reconciliation Adj EBITDA'!Y18</f>
        <v>5248</v>
      </c>
      <c r="Z18" s="100">
        <f>'Reconciliation Adj EBITDA'!Z18</f>
        <v>16508</v>
      </c>
      <c r="AA18" s="37">
        <f>'Reconciliation Adj EBITDA'!AA18</f>
        <v>5650</v>
      </c>
      <c r="AB18" s="37">
        <f>'Reconciliation Adj EBITDA'!AB18</f>
        <v>1658</v>
      </c>
      <c r="AC18" s="37">
        <f>'Reconciliation Adj EBITDA'!AC18</f>
        <v>1721</v>
      </c>
      <c r="AD18" s="37">
        <f>'Reconciliation Adj EBITDA'!AD18</f>
        <v>1712</v>
      </c>
      <c r="AE18" s="100">
        <f>'Reconciliation Adj EBITDA'!AE18</f>
        <v>10741</v>
      </c>
      <c r="AF18" s="37">
        <f>'Reconciliation Adj EBITDA'!AF18</f>
        <v>1753</v>
      </c>
      <c r="AG18" s="37">
        <f>'Reconciliation Adj EBITDA'!AG18</f>
        <v>2207</v>
      </c>
      <c r="AH18" s="37">
        <f>'Reconciliation Adj EBITDA'!AH18</f>
        <v>2557</v>
      </c>
      <c r="AI18" s="37">
        <f>'Reconciliation Adj EBITDA'!AI18</f>
        <v>2967</v>
      </c>
      <c r="AJ18" s="100">
        <f>'Reconciliation Adj EBITDA'!AJ18</f>
        <v>9484</v>
      </c>
      <c r="AK18" s="37">
        <f>'Reconciliation Adj EBITDA'!AK18</f>
        <v>3293</v>
      </c>
      <c r="AL18" s="37">
        <f>'Reconciliation Adj EBITDA'!AL18</f>
        <v>3181</v>
      </c>
      <c r="AM18" s="37">
        <f>'Reconciliation Adj EBITDA'!AM18</f>
        <v>3208</v>
      </c>
      <c r="AN18" s="37">
        <f>'Reconciliation Adj EBITDA'!AN18</f>
        <v>12792</v>
      </c>
      <c r="AO18" s="100">
        <f>'Reconciliation Adj EBITDA'!AO18</f>
        <v>22474</v>
      </c>
      <c r="AP18" s="37">
        <f>'Reconciliation Adj EBITDA'!AP18</f>
        <v>10326</v>
      </c>
      <c r="AQ18" s="37">
        <f>'Reconciliation Adj EBITDA'!AQ18</f>
        <v>8518</v>
      </c>
      <c r="AR18" s="37">
        <f>'Reconciliation Adj EBITDA'!AR18</f>
        <v>9383</v>
      </c>
      <c r="AS18" s="37">
        <f>'Reconciliation Adj EBITDA'!AS18</f>
        <v>10258</v>
      </c>
      <c r="AT18" s="100">
        <f>'Reconciliation Adj EBITDA'!AT18</f>
        <v>38485</v>
      </c>
      <c r="AU18" s="37">
        <f>'Reconciliation Adj EBITDA'!AU18</f>
        <v>12328</v>
      </c>
    </row>
    <row r="19" spans="1:47" ht="15" customHeight="1" x14ac:dyDescent="0.25">
      <c r="A19" s="21" t="s">
        <v>200</v>
      </c>
      <c r="B19" s="37">
        <f>'Reconciliation Adj EBITDA'!B19</f>
        <v>992</v>
      </c>
      <c r="C19" s="37">
        <f>'Reconciliation Adj EBITDA'!C19</f>
        <v>1112</v>
      </c>
      <c r="D19" s="37">
        <f>'Reconciliation Adj EBITDA'!D19</f>
        <v>1330</v>
      </c>
      <c r="E19" s="37">
        <f>'Reconciliation Adj EBITDA'!E19</f>
        <v>1744</v>
      </c>
      <c r="F19" s="48">
        <f>'Reconciliation Adj EBITDA'!F19</f>
        <v>5178</v>
      </c>
      <c r="G19" s="37">
        <f>'Reconciliation Adj EBITDA'!G19</f>
        <v>1771</v>
      </c>
      <c r="H19" s="37">
        <f>'Reconciliation Adj EBITDA'!H19</f>
        <v>2019</v>
      </c>
      <c r="I19" s="37">
        <f>'Reconciliation Adj EBITDA'!I19</f>
        <v>1813</v>
      </c>
      <c r="J19" s="37">
        <f>'Reconciliation Adj EBITDA'!J19</f>
        <v>2153</v>
      </c>
      <c r="K19" s="48">
        <f>'Reconciliation Adj EBITDA'!K19</f>
        <v>7757</v>
      </c>
      <c r="L19" s="37">
        <f>'Reconciliation Adj EBITDA'!L19</f>
        <v>4961</v>
      </c>
      <c r="M19" s="37">
        <f>'Reconciliation Adj EBITDA'!M19</f>
        <v>4925</v>
      </c>
      <c r="N19" s="37">
        <f>'Reconciliation Adj EBITDA'!N19</f>
        <v>5102</v>
      </c>
      <c r="O19" s="37">
        <f>'Reconciliation Adj EBITDA'!O19</f>
        <v>4856</v>
      </c>
      <c r="P19" s="100">
        <f>'Reconciliation Adj EBITDA'!P19</f>
        <v>19844</v>
      </c>
      <c r="Q19" s="37">
        <f>'Reconciliation Adj EBITDA'!Q19</f>
        <v>4454</v>
      </c>
      <c r="R19" s="37">
        <f>'Reconciliation Adj EBITDA'!R19</f>
        <v>4518</v>
      </c>
      <c r="S19" s="37">
        <f>'Reconciliation Adj EBITDA'!S19</f>
        <v>4442</v>
      </c>
      <c r="T19" s="37">
        <f>'Reconciliation Adj EBITDA'!T19</f>
        <v>4831</v>
      </c>
      <c r="U19" s="100">
        <f>'Reconciliation Adj EBITDA'!U19</f>
        <v>18245</v>
      </c>
      <c r="V19" s="37">
        <f>'Reconciliation Adj EBITDA'!V19</f>
        <v>4864</v>
      </c>
      <c r="W19" s="37">
        <f>'Reconciliation Adj EBITDA'!W19</f>
        <v>5109</v>
      </c>
      <c r="X19" s="37">
        <f>'Reconciliation Adj EBITDA'!X19</f>
        <v>4178</v>
      </c>
      <c r="Y19" s="37">
        <f>'Reconciliation Adj EBITDA'!Y19</f>
        <v>10763</v>
      </c>
      <c r="Z19" s="100">
        <f>'Reconciliation Adj EBITDA'!Z19</f>
        <v>24914</v>
      </c>
      <c r="AA19" s="37">
        <f>'Reconciliation Adj EBITDA'!AA19</f>
        <v>4340</v>
      </c>
      <c r="AB19" s="37">
        <f>'Reconciliation Adj EBITDA'!AB19</f>
        <v>4221</v>
      </c>
      <c r="AC19" s="37">
        <f>'Reconciliation Adj EBITDA'!AC19</f>
        <v>4176</v>
      </c>
      <c r="AD19" s="37">
        <f>'Reconciliation Adj EBITDA'!AD19</f>
        <v>4033</v>
      </c>
      <c r="AE19" s="100">
        <f>'Reconciliation Adj EBITDA'!AE19</f>
        <v>16770</v>
      </c>
      <c r="AF19" s="37">
        <f>'Reconciliation Adj EBITDA'!AF19</f>
        <v>3954</v>
      </c>
      <c r="AG19" s="37">
        <f>'Reconciliation Adj EBITDA'!AG19</f>
        <v>3702</v>
      </c>
      <c r="AH19" s="37">
        <f>'Reconciliation Adj EBITDA'!AH19</f>
        <v>3545</v>
      </c>
      <c r="AI19" s="37">
        <f>'Reconciliation Adj EBITDA'!AI19</f>
        <v>3579</v>
      </c>
      <c r="AJ19" s="100">
        <f>'Reconciliation Adj EBITDA'!AJ19</f>
        <v>14780</v>
      </c>
      <c r="AK19" s="37">
        <f>'Reconciliation Adj EBITDA'!AK19</f>
        <v>3609</v>
      </c>
      <c r="AL19" s="37">
        <f>'Reconciliation Adj EBITDA'!AL19</f>
        <v>3729</v>
      </c>
      <c r="AM19" s="37">
        <f>'Reconciliation Adj EBITDA'!AM19</f>
        <v>3540</v>
      </c>
      <c r="AN19" s="37">
        <f>'Reconciliation Adj EBITDA'!AN19</f>
        <v>3930</v>
      </c>
      <c r="AO19" s="100">
        <f>'Reconciliation Adj EBITDA'!AO19</f>
        <v>14808</v>
      </c>
      <c r="AP19" s="37">
        <f>'Reconciliation Adj EBITDA'!AP19</f>
        <v>2816</v>
      </c>
      <c r="AQ19" s="37">
        <f>'Reconciliation Adj EBITDA'!AQ19</f>
        <v>4059</v>
      </c>
      <c r="AR19" s="37">
        <f>'Reconciliation Adj EBITDA'!AR19</f>
        <v>3252</v>
      </c>
      <c r="AS19" s="37">
        <f>'Reconciliation Adj EBITDA'!AS19</f>
        <v>3140</v>
      </c>
      <c r="AT19" s="100">
        <f>'Reconciliation Adj EBITDA'!AT19</f>
        <v>13267</v>
      </c>
      <c r="AU19" s="37">
        <f>'Reconciliation Adj EBITDA'!AU19</f>
        <v>3233</v>
      </c>
    </row>
    <row r="20" spans="1:47" ht="15" customHeight="1" x14ac:dyDescent="0.25">
      <c r="A20" s="21" t="s">
        <v>201</v>
      </c>
      <c r="B20" s="37">
        <f>'Reconciliation Adj EBITDA'!B20</f>
        <v>321</v>
      </c>
      <c r="C20" s="37">
        <f>'Reconciliation Adj EBITDA'!C20</f>
        <v>376</v>
      </c>
      <c r="D20" s="37">
        <f>'Reconciliation Adj EBITDA'!D20</f>
        <v>369</v>
      </c>
      <c r="E20" s="37">
        <f>'Reconciliation Adj EBITDA'!E20</f>
        <v>461</v>
      </c>
      <c r="F20" s="48">
        <f>'Reconciliation Adj EBITDA'!F20</f>
        <v>1526</v>
      </c>
      <c r="G20" s="37">
        <f>'Reconciliation Adj EBITDA'!G20</f>
        <v>518</v>
      </c>
      <c r="H20" s="37">
        <f>'Reconciliation Adj EBITDA'!H20</f>
        <v>604</v>
      </c>
      <c r="I20" s="37">
        <f>'Reconciliation Adj EBITDA'!I20</f>
        <v>912</v>
      </c>
      <c r="J20" s="37">
        <f>'Reconciliation Adj EBITDA'!J20</f>
        <v>1308</v>
      </c>
      <c r="K20" s="48">
        <f>'Reconciliation Adj EBITDA'!K20</f>
        <v>3342</v>
      </c>
      <c r="L20" s="37">
        <f>'Reconciliation Adj EBITDA'!L20</f>
        <v>1171</v>
      </c>
      <c r="M20" s="37">
        <f>'Reconciliation Adj EBITDA'!M20</f>
        <v>1286</v>
      </c>
      <c r="N20" s="37">
        <f>'Reconciliation Adj EBITDA'!N20</f>
        <v>1511</v>
      </c>
      <c r="O20" s="37">
        <f>'Reconciliation Adj EBITDA'!O20</f>
        <v>1770</v>
      </c>
      <c r="P20" s="100">
        <f>'Reconciliation Adj EBITDA'!P20</f>
        <v>5738</v>
      </c>
      <c r="Q20" s="37">
        <f>'Reconciliation Adj EBITDA'!Q20</f>
        <v>1722</v>
      </c>
      <c r="R20" s="37">
        <f>'Reconciliation Adj EBITDA'!R20</f>
        <v>1747</v>
      </c>
      <c r="S20" s="37">
        <f>'Reconciliation Adj EBITDA'!S20</f>
        <v>1882</v>
      </c>
      <c r="T20" s="37">
        <f>'Reconciliation Adj EBITDA'!T20</f>
        <v>1955</v>
      </c>
      <c r="U20" s="100">
        <f>'Reconciliation Adj EBITDA'!U20</f>
        <v>7306</v>
      </c>
      <c r="V20" s="37">
        <f>'Reconciliation Adj EBITDA'!V20</f>
        <v>1820</v>
      </c>
      <c r="W20" s="37">
        <f>'Reconciliation Adj EBITDA'!W20</f>
        <v>1825</v>
      </c>
      <c r="X20" s="37">
        <f>'Reconciliation Adj EBITDA'!X20</f>
        <v>1768</v>
      </c>
      <c r="Y20" s="37">
        <f>'Reconciliation Adj EBITDA'!Y20</f>
        <v>1787</v>
      </c>
      <c r="Z20" s="100">
        <f>'Reconciliation Adj EBITDA'!Z20</f>
        <v>7200</v>
      </c>
      <c r="AA20" s="37">
        <f>'Reconciliation Adj EBITDA'!AA20</f>
        <v>1377</v>
      </c>
      <c r="AB20" s="37">
        <f>'Reconciliation Adj EBITDA'!AB20</f>
        <v>1231</v>
      </c>
      <c r="AC20" s="37">
        <f>'Reconciliation Adj EBITDA'!AC20</f>
        <v>1143</v>
      </c>
      <c r="AD20" s="37">
        <f>'Reconciliation Adj EBITDA'!AD20</f>
        <v>1041</v>
      </c>
      <c r="AE20" s="100">
        <f>'Reconciliation Adj EBITDA'!AE20</f>
        <v>4792</v>
      </c>
      <c r="AF20" s="37">
        <f>'Reconciliation Adj EBITDA'!AF20</f>
        <v>903</v>
      </c>
      <c r="AG20" s="37">
        <f>'Reconciliation Adj EBITDA'!AG20</f>
        <v>838</v>
      </c>
      <c r="AH20" s="37">
        <f>'Reconciliation Adj EBITDA'!AH20</f>
        <v>679</v>
      </c>
      <c r="AI20" s="37">
        <f>'Reconciliation Adj EBITDA'!AI20</f>
        <v>599</v>
      </c>
      <c r="AJ20" s="100">
        <f>'Reconciliation Adj EBITDA'!AJ20</f>
        <v>3019</v>
      </c>
      <c r="AK20" s="37">
        <f>'Reconciliation Adj EBITDA'!AK20</f>
        <v>610</v>
      </c>
      <c r="AL20" s="37">
        <f>'Reconciliation Adj EBITDA'!AL20</f>
        <v>606</v>
      </c>
      <c r="AM20" s="37">
        <f>'Reconciliation Adj EBITDA'!AM20</f>
        <v>563</v>
      </c>
      <c r="AN20" s="37">
        <f>'Reconciliation Adj EBITDA'!AN20</f>
        <v>-925</v>
      </c>
      <c r="AO20" s="100">
        <f>'Reconciliation Adj EBITDA'!AO20</f>
        <v>854</v>
      </c>
      <c r="AP20" s="37">
        <f>'Reconciliation Adj EBITDA'!AP20</f>
        <v>520</v>
      </c>
      <c r="AQ20" s="37">
        <f>'Reconciliation Adj EBITDA'!AQ20</f>
        <v>566</v>
      </c>
      <c r="AR20" s="37">
        <f>'Reconciliation Adj EBITDA'!AR20</f>
        <v>564</v>
      </c>
      <c r="AS20" s="37">
        <f>'Reconciliation Adj EBITDA'!AS20</f>
        <v>477</v>
      </c>
      <c r="AT20" s="100">
        <f>'Reconciliation Adj EBITDA'!AT20</f>
        <v>2127</v>
      </c>
      <c r="AU20" s="37">
        <f>'Reconciliation Adj EBITDA'!AU20</f>
        <v>453</v>
      </c>
    </row>
    <row r="21" spans="1:47" ht="14.1" customHeight="1" thickBot="1" x14ac:dyDescent="0.3">
      <c r="A21" s="22" t="s">
        <v>226</v>
      </c>
      <c r="B21" s="76">
        <f t="shared" ref="B21:F21" si="17">SUM(B17:B20)</f>
        <v>8428</v>
      </c>
      <c r="C21" s="76">
        <f t="shared" si="17"/>
        <v>10278</v>
      </c>
      <c r="D21" s="76">
        <f t="shared" si="17"/>
        <v>11892</v>
      </c>
      <c r="E21" s="76">
        <f t="shared" si="17"/>
        <v>13967</v>
      </c>
      <c r="F21" s="79">
        <f t="shared" si="17"/>
        <v>44565</v>
      </c>
      <c r="G21" s="76">
        <f>SUM(G17:G20)</f>
        <v>12516</v>
      </c>
      <c r="H21" s="76">
        <f>SUM(H17:H20)</f>
        <v>13300</v>
      </c>
      <c r="I21" s="76">
        <f>SUM(I17:I20)</f>
        <v>14771</v>
      </c>
      <c r="J21" s="76">
        <f>SUM(J17:J20)</f>
        <v>16190</v>
      </c>
      <c r="K21" s="79">
        <f t="shared" ref="K21:Q21" si="18">SUM(K17:K20)</f>
        <v>56779</v>
      </c>
      <c r="L21" s="76">
        <f t="shared" si="18"/>
        <v>20167</v>
      </c>
      <c r="M21" s="76">
        <f>SUM(M17:M20)</f>
        <v>22306</v>
      </c>
      <c r="N21" s="76">
        <f>SUM(N17:N20)</f>
        <v>23755</v>
      </c>
      <c r="O21" s="76">
        <f t="shared" si="18"/>
        <v>24570</v>
      </c>
      <c r="P21" s="137">
        <f t="shared" si="18"/>
        <v>90796</v>
      </c>
      <c r="Q21" s="76">
        <f t="shared" si="18"/>
        <v>23646</v>
      </c>
      <c r="R21" s="76">
        <f t="shared" ref="R21:V21" si="19">SUM(R17:R20)</f>
        <v>23560</v>
      </c>
      <c r="S21" s="76">
        <f t="shared" si="19"/>
        <v>25619</v>
      </c>
      <c r="T21" s="76">
        <f t="shared" si="19"/>
        <v>30675</v>
      </c>
      <c r="U21" s="137">
        <f t="shared" si="19"/>
        <v>103500</v>
      </c>
      <c r="V21" s="76">
        <f t="shared" si="19"/>
        <v>19296</v>
      </c>
      <c r="W21" s="76">
        <f t="shared" ref="W21:AA21" si="20">SUM(W17:W20)</f>
        <v>21315</v>
      </c>
      <c r="X21" s="76">
        <f t="shared" si="20"/>
        <v>22388</v>
      </c>
      <c r="Y21" s="76">
        <f t="shared" si="20"/>
        <v>30489</v>
      </c>
      <c r="Z21" s="137">
        <f t="shared" si="20"/>
        <v>93488</v>
      </c>
      <c r="AA21" s="76">
        <f t="shared" si="20"/>
        <v>24138</v>
      </c>
      <c r="AB21" s="76">
        <f t="shared" ref="AB21:AF21" si="21">SUM(AB17:AB20)</f>
        <v>20208</v>
      </c>
      <c r="AC21" s="76">
        <f t="shared" si="21"/>
        <v>21752</v>
      </c>
      <c r="AD21" s="76">
        <f t="shared" si="21"/>
        <v>22140</v>
      </c>
      <c r="AE21" s="137">
        <f t="shared" si="21"/>
        <v>88238</v>
      </c>
      <c r="AF21" s="76">
        <f t="shared" si="21"/>
        <v>21854</v>
      </c>
      <c r="AG21" s="76">
        <f t="shared" ref="AG21:AK21" si="22">SUM(AG17:AG20)</f>
        <v>22491</v>
      </c>
      <c r="AH21" s="76">
        <f t="shared" si="22"/>
        <v>22301</v>
      </c>
      <c r="AI21" s="76">
        <f t="shared" si="22"/>
        <v>21756</v>
      </c>
      <c r="AJ21" s="137">
        <f t="shared" si="22"/>
        <v>88402</v>
      </c>
      <c r="AK21" s="76">
        <f t="shared" si="22"/>
        <v>22144</v>
      </c>
      <c r="AL21" s="76">
        <f>SUM(AL17:AL20)</f>
        <v>20141</v>
      </c>
      <c r="AM21" s="76">
        <f>SUM(AM17:AM20)</f>
        <v>19283</v>
      </c>
      <c r="AN21" s="76">
        <f t="shared" ref="AN21:AP21" si="23">SUM(AN17:AN20)</f>
        <v>27450</v>
      </c>
      <c r="AO21" s="137">
        <f t="shared" si="23"/>
        <v>89018</v>
      </c>
      <c r="AP21" s="76">
        <f t="shared" si="23"/>
        <v>25320</v>
      </c>
      <c r="AQ21" s="76">
        <f>SUM(AQ17:AQ20)</f>
        <v>26606</v>
      </c>
      <c r="AR21" s="76">
        <f>SUM(AR17:AR20)</f>
        <v>24648</v>
      </c>
      <c r="AS21" s="76">
        <f t="shared" ref="AS21:AU21" si="24">SUM(AS17:AS20)</f>
        <v>23079</v>
      </c>
      <c r="AT21" s="137">
        <f t="shared" si="24"/>
        <v>99653</v>
      </c>
      <c r="AU21" s="76">
        <f t="shared" si="24"/>
        <v>24918</v>
      </c>
    </row>
    <row r="22" spans="1:47" ht="15" customHeight="1" thickTop="1" x14ac:dyDescent="0.25">
      <c r="F22" s="9"/>
      <c r="K22" s="9"/>
      <c r="P22" s="95"/>
      <c r="U22" s="95"/>
      <c r="Z22" s="95"/>
      <c r="AE22" s="95"/>
      <c r="AJ22" s="95"/>
      <c r="AO22" s="95"/>
      <c r="AT22" s="95"/>
    </row>
    <row r="23" spans="1:47" ht="14.1" customHeight="1" x14ac:dyDescent="0.25">
      <c r="A23" s="18" t="s">
        <v>205</v>
      </c>
      <c r="F23" s="9"/>
      <c r="K23" s="9"/>
      <c r="P23" s="95"/>
      <c r="U23" s="95"/>
      <c r="Z23" s="95"/>
      <c r="AE23" s="95"/>
      <c r="AJ23" s="95"/>
      <c r="AO23" s="95"/>
      <c r="AT23" s="95"/>
    </row>
    <row r="24" spans="1:47" ht="14.1" customHeight="1" x14ac:dyDescent="0.25">
      <c r="A24" s="21" t="s">
        <v>199</v>
      </c>
      <c r="F24" s="9"/>
      <c r="K24" s="9"/>
      <c r="P24" s="95"/>
      <c r="U24" s="95"/>
      <c r="Z24" s="95"/>
      <c r="AE24" s="95"/>
      <c r="AJ24" s="95"/>
      <c r="AO24" s="95"/>
      <c r="AP24" s="2">
        <v>404</v>
      </c>
      <c r="AQ24" s="2">
        <v>99</v>
      </c>
      <c r="AR24" s="2">
        <v>4</v>
      </c>
      <c r="AS24" s="2">
        <f>'Reconciliation Adj EBITDA'!AS22</f>
        <v>-3</v>
      </c>
      <c r="AT24" s="95">
        <f>'Reconciliation Adj EBITDA'!AT22</f>
        <v>504</v>
      </c>
    </row>
    <row r="25" spans="1:47" ht="14.1" customHeight="1" x14ac:dyDescent="0.25">
      <c r="A25" s="21" t="s">
        <v>200</v>
      </c>
      <c r="F25" s="9"/>
      <c r="K25" s="9"/>
      <c r="P25" s="95"/>
      <c r="U25" s="95"/>
      <c r="Z25" s="95"/>
      <c r="AE25" s="95"/>
      <c r="AJ25" s="95"/>
      <c r="AL25" s="37">
        <v>178</v>
      </c>
      <c r="AM25" s="2">
        <v>-11</v>
      </c>
      <c r="AN25" s="2">
        <v>-2</v>
      </c>
      <c r="AO25" s="95">
        <v>165</v>
      </c>
      <c r="AP25" s="77">
        <v>0</v>
      </c>
      <c r="AQ25" s="37">
        <v>0</v>
      </c>
      <c r="AR25" s="37">
        <v>0</v>
      </c>
      <c r="AS25" s="37">
        <v>0</v>
      </c>
      <c r="AT25" s="100">
        <v>0</v>
      </c>
      <c r="AU25" s="77">
        <v>0</v>
      </c>
    </row>
    <row r="26" spans="1:47" ht="14.1" customHeight="1" x14ac:dyDescent="0.25">
      <c r="A26" s="21" t="s">
        <v>201</v>
      </c>
      <c r="B26" s="37">
        <f>'Reconciliation Adj EBITDA'!B23</f>
        <v>0</v>
      </c>
      <c r="C26" s="37">
        <f>'Reconciliation Adj EBITDA'!C23</f>
        <v>0</v>
      </c>
      <c r="D26" s="37">
        <f>'Reconciliation Adj EBITDA'!D23</f>
        <v>0</v>
      </c>
      <c r="E26" s="37">
        <f>'Reconciliation Adj EBITDA'!E23</f>
        <v>0</v>
      </c>
      <c r="F26" s="48">
        <f>'Reconciliation Adj EBITDA'!F23</f>
        <v>0</v>
      </c>
      <c r="G26" s="37">
        <f>'Reconciliation Adj EBITDA'!G23</f>
        <v>0</v>
      </c>
      <c r="H26" s="37">
        <f>'Reconciliation Adj EBITDA'!H23</f>
        <v>148</v>
      </c>
      <c r="I26" s="37">
        <f>'Reconciliation Adj EBITDA'!I23</f>
        <v>1793</v>
      </c>
      <c r="J26" s="37">
        <f>'Reconciliation Adj EBITDA'!J23</f>
        <v>980</v>
      </c>
      <c r="K26" s="48">
        <f>'Reconciliation Adj EBITDA'!K23</f>
        <v>2921</v>
      </c>
      <c r="L26" s="37">
        <f>'Reconciliation Adj EBITDA'!L23</f>
        <v>6</v>
      </c>
      <c r="M26" s="37">
        <f>'Reconciliation Adj EBITDA'!M23</f>
        <v>0</v>
      </c>
      <c r="N26" s="37">
        <f>'Reconciliation Adj EBITDA'!N23</f>
        <v>0</v>
      </c>
      <c r="O26" s="37">
        <f>'Reconciliation Adj EBITDA'!O23</f>
        <v>0</v>
      </c>
      <c r="P26" s="100">
        <f>'Reconciliation Adj EBITDA'!P23</f>
        <v>6</v>
      </c>
      <c r="Q26" s="37">
        <f>'Reconciliation Adj EBITDA'!Q23</f>
        <v>0</v>
      </c>
      <c r="R26" s="37">
        <f>'Reconciliation Adj EBITDA'!R23</f>
        <v>0</v>
      </c>
      <c r="S26" s="37">
        <f>'Reconciliation Adj EBITDA'!S23</f>
        <v>516</v>
      </c>
      <c r="T26" s="37">
        <f>'Reconciliation Adj EBITDA'!T23</f>
        <v>1222</v>
      </c>
      <c r="U26" s="100">
        <f>'Reconciliation Adj EBITDA'!U23</f>
        <v>1738</v>
      </c>
      <c r="V26" s="37">
        <f>'Reconciliation Adj EBITDA'!V23</f>
        <v>0</v>
      </c>
      <c r="W26" s="37">
        <f>'Reconciliation Adj EBITDA'!W23</f>
        <v>0</v>
      </c>
      <c r="X26" s="37">
        <f>'Reconciliation Adj EBITDA'!X23</f>
        <v>0</v>
      </c>
      <c r="Y26" s="37">
        <f>'Reconciliation Adj EBITDA'!Y23</f>
        <v>0</v>
      </c>
      <c r="Z26" s="100">
        <f>'Reconciliation Adj EBITDA'!Z23</f>
        <v>0</v>
      </c>
      <c r="AA26" s="37">
        <f>'Reconciliation Adj EBITDA'!AA23</f>
        <v>0</v>
      </c>
      <c r="AB26" s="37">
        <f>'Reconciliation Adj EBITDA'!AB23</f>
        <v>0</v>
      </c>
      <c r="AC26" s="37">
        <f>'Reconciliation Adj EBITDA'!AC23</f>
        <v>112</v>
      </c>
      <c r="AD26" s="37">
        <f>'Reconciliation Adj EBITDA'!AD23</f>
        <v>174</v>
      </c>
      <c r="AE26" s="100">
        <f>'Reconciliation Adj EBITDA'!AE23</f>
        <v>286</v>
      </c>
      <c r="AF26" s="37">
        <f>'Reconciliation Adj EBITDA'!AF23</f>
        <v>0</v>
      </c>
      <c r="AG26" s="37">
        <f>'Reconciliation Adj EBITDA'!AG23</f>
        <v>3047</v>
      </c>
      <c r="AH26" s="37">
        <f>'Reconciliation Adj EBITDA'!AH23</f>
        <v>2091</v>
      </c>
      <c r="AI26" s="37">
        <f>'Reconciliation Adj EBITDA'!AI23</f>
        <v>6118</v>
      </c>
      <c r="AJ26" s="100">
        <f>'Reconciliation Adj EBITDA'!AJ23</f>
        <v>11256</v>
      </c>
      <c r="AK26" s="37">
        <f>'Reconciliation Adj EBITDA'!AK23</f>
        <v>2544</v>
      </c>
      <c r="AL26" s="37">
        <f>'Reconciliation Adj EBITDA'!AL23</f>
        <v>1799</v>
      </c>
      <c r="AM26" s="37">
        <f>'Reconciliation Adj EBITDA'!AM23</f>
        <v>6981</v>
      </c>
      <c r="AN26" s="37">
        <f>'Reconciliation Adj EBITDA'!AN23</f>
        <v>1095</v>
      </c>
      <c r="AO26" s="100">
        <f>'Reconciliation Adj EBITDA'!AO23</f>
        <v>12419</v>
      </c>
      <c r="AP26" s="37">
        <f>'Reconciliation Adj EBITDA'!AP23</f>
        <v>428</v>
      </c>
      <c r="AQ26" s="37">
        <f>'Reconciliation Adj EBITDA'!AQ23</f>
        <v>263</v>
      </c>
      <c r="AR26" s="37">
        <f>'Reconciliation Adj EBITDA'!AR23</f>
        <v>82</v>
      </c>
      <c r="AS26" s="37">
        <f>'Reconciliation Adj EBITDA'!AS23</f>
        <v>616</v>
      </c>
      <c r="AT26" s="100">
        <f>'Reconciliation Adj EBITDA'!AT23</f>
        <v>1390</v>
      </c>
      <c r="AU26" s="37">
        <f>'Reconciliation Adj EBITDA'!AU23</f>
        <v>0</v>
      </c>
    </row>
    <row r="27" spans="1:47" ht="14.1" customHeight="1" thickBot="1" x14ac:dyDescent="0.3">
      <c r="A27" s="22" t="s">
        <v>227</v>
      </c>
      <c r="B27" s="76">
        <f t="shared" ref="B27:Q27" si="25">SUM(B26:B26)</f>
        <v>0</v>
      </c>
      <c r="C27" s="76">
        <f t="shared" si="25"/>
        <v>0</v>
      </c>
      <c r="D27" s="76">
        <f t="shared" si="25"/>
        <v>0</v>
      </c>
      <c r="E27" s="76">
        <f t="shared" si="25"/>
        <v>0</v>
      </c>
      <c r="F27" s="79">
        <f t="shared" si="25"/>
        <v>0</v>
      </c>
      <c r="G27" s="76">
        <f t="shared" si="25"/>
        <v>0</v>
      </c>
      <c r="H27" s="76">
        <f t="shared" si="25"/>
        <v>148</v>
      </c>
      <c r="I27" s="76">
        <f t="shared" si="25"/>
        <v>1793</v>
      </c>
      <c r="J27" s="76">
        <f t="shared" si="25"/>
        <v>980</v>
      </c>
      <c r="K27" s="79">
        <f t="shared" si="25"/>
        <v>2921</v>
      </c>
      <c r="L27" s="76">
        <f t="shared" si="25"/>
        <v>6</v>
      </c>
      <c r="M27" s="76">
        <f t="shared" si="25"/>
        <v>0</v>
      </c>
      <c r="N27" s="76">
        <f t="shared" si="25"/>
        <v>0</v>
      </c>
      <c r="O27" s="76">
        <f t="shared" si="25"/>
        <v>0</v>
      </c>
      <c r="P27" s="137">
        <f t="shared" si="25"/>
        <v>6</v>
      </c>
      <c r="Q27" s="76">
        <f t="shared" si="25"/>
        <v>0</v>
      </c>
      <c r="R27" s="76">
        <f t="shared" ref="R27:V27" si="26">SUM(R26:R26)</f>
        <v>0</v>
      </c>
      <c r="S27" s="76">
        <f t="shared" si="26"/>
        <v>516</v>
      </c>
      <c r="T27" s="76">
        <f t="shared" si="26"/>
        <v>1222</v>
      </c>
      <c r="U27" s="137">
        <f t="shared" si="26"/>
        <v>1738</v>
      </c>
      <c r="V27" s="76">
        <f t="shared" si="26"/>
        <v>0</v>
      </c>
      <c r="W27" s="76">
        <f t="shared" ref="W27:AA27" si="27">SUM(W26:W26)</f>
        <v>0</v>
      </c>
      <c r="X27" s="76">
        <f t="shared" si="27"/>
        <v>0</v>
      </c>
      <c r="Y27" s="76">
        <f t="shared" si="27"/>
        <v>0</v>
      </c>
      <c r="Z27" s="137">
        <f t="shared" si="27"/>
        <v>0</v>
      </c>
      <c r="AA27" s="76">
        <f t="shared" si="27"/>
        <v>0</v>
      </c>
      <c r="AB27" s="76">
        <f t="shared" ref="AB27:AF27" si="28">SUM(AB26:AB26)</f>
        <v>0</v>
      </c>
      <c r="AC27" s="76">
        <f t="shared" si="28"/>
        <v>112</v>
      </c>
      <c r="AD27" s="76">
        <f t="shared" si="28"/>
        <v>174</v>
      </c>
      <c r="AE27" s="137">
        <f t="shared" si="28"/>
        <v>286</v>
      </c>
      <c r="AF27" s="76">
        <f t="shared" si="28"/>
        <v>0</v>
      </c>
      <c r="AG27" s="76">
        <f t="shared" ref="AG27:AK27" si="29">SUM(AG26:AG26)</f>
        <v>3047</v>
      </c>
      <c r="AH27" s="76">
        <f t="shared" si="29"/>
        <v>2091</v>
      </c>
      <c r="AI27" s="76">
        <f t="shared" si="29"/>
        <v>6118</v>
      </c>
      <c r="AJ27" s="137">
        <f t="shared" si="29"/>
        <v>11256</v>
      </c>
      <c r="AK27" s="76">
        <f t="shared" si="29"/>
        <v>2544</v>
      </c>
      <c r="AL27" s="76">
        <f>SUM(AL25:AL26)</f>
        <v>1977</v>
      </c>
      <c r="AM27" s="76">
        <f>SUM(AM25:AM26)</f>
        <v>6970</v>
      </c>
      <c r="AN27" s="76">
        <f>SUM(AN25:AN26)</f>
        <v>1093</v>
      </c>
      <c r="AO27" s="137">
        <f>SUM(AO25:AO26)</f>
        <v>12584</v>
      </c>
      <c r="AP27" s="76">
        <f t="shared" ref="AP27:AU27" si="30">SUM(AP24:AP26)</f>
        <v>832</v>
      </c>
      <c r="AQ27" s="76">
        <f t="shared" si="30"/>
        <v>362</v>
      </c>
      <c r="AR27" s="76">
        <f t="shared" si="30"/>
        <v>86</v>
      </c>
      <c r="AS27" s="76">
        <f t="shared" si="30"/>
        <v>613</v>
      </c>
      <c r="AT27" s="137">
        <f t="shared" si="30"/>
        <v>1894</v>
      </c>
      <c r="AU27" s="76">
        <f t="shared" si="30"/>
        <v>0</v>
      </c>
    </row>
    <row r="28" spans="1:47" ht="14.1" customHeight="1" thickTop="1" x14ac:dyDescent="0.25">
      <c r="A28" s="22"/>
      <c r="B28" s="153"/>
      <c r="C28" s="153"/>
      <c r="D28" s="153"/>
      <c r="E28" s="153"/>
      <c r="F28" s="154"/>
      <c r="G28" s="153"/>
      <c r="H28" s="153"/>
      <c r="I28" s="153"/>
      <c r="J28" s="153"/>
      <c r="K28" s="154"/>
      <c r="L28" s="153"/>
      <c r="M28" s="153"/>
      <c r="N28" s="153"/>
      <c r="O28" s="153"/>
      <c r="P28" s="155"/>
      <c r="Q28" s="153"/>
      <c r="R28" s="153"/>
      <c r="S28" s="153"/>
      <c r="T28" s="153"/>
      <c r="U28" s="155"/>
      <c r="V28" s="153"/>
      <c r="W28" s="153"/>
      <c r="X28" s="153"/>
      <c r="Y28" s="153"/>
      <c r="Z28" s="155"/>
      <c r="AA28" s="153"/>
      <c r="AB28" s="153"/>
      <c r="AC28" s="153"/>
      <c r="AD28" s="153"/>
      <c r="AE28" s="155"/>
      <c r="AF28" s="153"/>
      <c r="AG28" s="153"/>
      <c r="AH28" s="153"/>
      <c r="AI28" s="153"/>
      <c r="AJ28" s="155"/>
      <c r="AK28" s="153"/>
      <c r="AL28" s="153"/>
      <c r="AM28" s="153"/>
      <c r="AN28" s="153"/>
      <c r="AO28" s="155"/>
      <c r="AP28" s="153"/>
      <c r="AQ28" s="153"/>
      <c r="AR28" s="153"/>
      <c r="AS28" s="153"/>
      <c r="AT28" s="155"/>
      <c r="AU28" s="153"/>
    </row>
    <row r="29" spans="1:47" ht="14.1" customHeight="1" x14ac:dyDescent="0.25">
      <c r="A29" s="18" t="s">
        <v>207</v>
      </c>
      <c r="B29" s="153"/>
      <c r="C29" s="153"/>
      <c r="D29" s="153"/>
      <c r="E29" s="153"/>
      <c r="F29" s="154"/>
      <c r="G29" s="153"/>
      <c r="H29" s="153"/>
      <c r="I29" s="153"/>
      <c r="J29" s="153"/>
      <c r="K29" s="154"/>
      <c r="L29" s="153"/>
      <c r="M29" s="153"/>
      <c r="N29" s="153"/>
      <c r="O29" s="153"/>
      <c r="P29" s="155"/>
      <c r="Q29" s="153"/>
      <c r="R29" s="153"/>
      <c r="S29" s="153"/>
      <c r="T29" s="153"/>
      <c r="U29" s="155"/>
      <c r="V29" s="153"/>
      <c r="W29" s="153"/>
      <c r="X29" s="153"/>
      <c r="Y29" s="153"/>
      <c r="Z29" s="155"/>
      <c r="AA29" s="153"/>
      <c r="AB29" s="153"/>
      <c r="AC29" s="153"/>
      <c r="AD29" s="153"/>
      <c r="AE29" s="155"/>
      <c r="AF29" s="153"/>
      <c r="AG29" s="153"/>
      <c r="AH29" s="153"/>
      <c r="AI29" s="153"/>
      <c r="AJ29" s="155"/>
      <c r="AK29" s="153"/>
      <c r="AL29" s="153"/>
      <c r="AM29" s="153"/>
      <c r="AN29" s="153"/>
      <c r="AO29" s="155"/>
      <c r="AP29" s="153"/>
      <c r="AQ29" s="153"/>
      <c r="AR29" s="153"/>
      <c r="AS29" s="153"/>
      <c r="AT29" s="155"/>
      <c r="AU29" s="153"/>
    </row>
    <row r="30" spans="1:47" ht="14.1" customHeight="1" x14ac:dyDescent="0.25">
      <c r="A30" s="21" t="s">
        <v>201</v>
      </c>
      <c r="B30" s="153"/>
      <c r="C30" s="153"/>
      <c r="D30" s="153"/>
      <c r="E30" s="153"/>
      <c r="F30" s="154"/>
      <c r="G30" s="153"/>
      <c r="H30" s="153"/>
      <c r="I30" s="153"/>
      <c r="J30" s="153"/>
      <c r="K30" s="154"/>
      <c r="L30" s="153"/>
      <c r="M30" s="153"/>
      <c r="N30" s="153"/>
      <c r="O30" s="153"/>
      <c r="P30" s="155"/>
      <c r="Q30" s="153"/>
      <c r="R30" s="153"/>
      <c r="S30" s="153"/>
      <c r="T30" s="153"/>
      <c r="U30" s="155"/>
      <c r="V30" s="153"/>
      <c r="W30" s="77">
        <v>0</v>
      </c>
      <c r="X30" s="77">
        <v>0</v>
      </c>
      <c r="Y30" s="77">
        <v>0</v>
      </c>
      <c r="Z30" s="136">
        <v>0</v>
      </c>
      <c r="AA30" s="77">
        <v>0</v>
      </c>
      <c r="AB30" s="77">
        <v>0</v>
      </c>
      <c r="AC30" s="77">
        <v>0</v>
      </c>
      <c r="AD30" s="77">
        <v>0</v>
      </c>
      <c r="AE30" s="136">
        <v>0</v>
      </c>
      <c r="AF30" s="77">
        <v>0</v>
      </c>
      <c r="AG30" s="77">
        <v>0</v>
      </c>
      <c r="AH30" s="77">
        <v>0</v>
      </c>
      <c r="AI30" s="77">
        <v>0</v>
      </c>
      <c r="AJ30" s="136">
        <v>0</v>
      </c>
      <c r="AK30" s="77">
        <v>0</v>
      </c>
      <c r="AL30" s="77">
        <v>65684</v>
      </c>
      <c r="AM30" s="77">
        <v>-1764</v>
      </c>
      <c r="AN30" s="77">
        <v>-699</v>
      </c>
      <c r="AO30" s="136">
        <f>SUM(AL30:AN30)</f>
        <v>63221</v>
      </c>
      <c r="AP30" s="77">
        <v>0</v>
      </c>
      <c r="AQ30" s="77">
        <v>-21616</v>
      </c>
      <c r="AR30" s="77">
        <v>-51</v>
      </c>
      <c r="AS30" s="77">
        <v>35</v>
      </c>
      <c r="AT30" s="136">
        <f>SUM(AQ30:AS30)</f>
        <v>-21632</v>
      </c>
      <c r="AU30" s="77">
        <v>0</v>
      </c>
    </row>
    <row r="31" spans="1:47" ht="14.1" customHeight="1" thickBot="1" x14ac:dyDescent="0.3">
      <c r="A31" s="22" t="s">
        <v>228</v>
      </c>
      <c r="F31" s="9"/>
      <c r="K31" s="9"/>
      <c r="P31" s="95"/>
      <c r="U31" s="95"/>
      <c r="W31" s="76">
        <v>0</v>
      </c>
      <c r="X31" s="76">
        <v>0</v>
      </c>
      <c r="Y31" s="76">
        <v>0</v>
      </c>
      <c r="Z31" s="76">
        <v>0</v>
      </c>
      <c r="AA31" s="76">
        <v>0</v>
      </c>
      <c r="AB31" s="76">
        <v>0</v>
      </c>
      <c r="AC31" s="76">
        <v>0</v>
      </c>
      <c r="AD31" s="76">
        <v>0</v>
      </c>
      <c r="AE31" s="137">
        <v>0</v>
      </c>
      <c r="AF31" s="76">
        <v>0</v>
      </c>
      <c r="AG31" s="76">
        <v>0</v>
      </c>
      <c r="AH31" s="76">
        <v>0</v>
      </c>
      <c r="AI31" s="76">
        <v>0</v>
      </c>
      <c r="AJ31" s="137">
        <v>0</v>
      </c>
      <c r="AK31" s="76">
        <v>0</v>
      </c>
      <c r="AL31" s="76">
        <f>SUM(AL30)</f>
        <v>65684</v>
      </c>
      <c r="AM31" s="76">
        <f>SUM(AM30)</f>
        <v>-1764</v>
      </c>
      <c r="AN31" s="76">
        <f>SUM(AN30)</f>
        <v>-699</v>
      </c>
      <c r="AO31" s="137">
        <f>SUM(AO29:AO30)</f>
        <v>63221</v>
      </c>
      <c r="AP31" s="76">
        <v>0</v>
      </c>
      <c r="AQ31" s="76">
        <f>SUM(AQ30)</f>
        <v>-21616</v>
      </c>
      <c r="AR31" s="76">
        <f>SUM(AR30)</f>
        <v>-51</v>
      </c>
      <c r="AS31" s="76">
        <f>SUM(AS30)</f>
        <v>35</v>
      </c>
      <c r="AT31" s="137">
        <f>SUM(AT29:AT30)</f>
        <v>-21632</v>
      </c>
      <c r="AU31" s="76">
        <v>0</v>
      </c>
    </row>
    <row r="32" spans="1:47" ht="14.1" customHeight="1" thickTop="1" x14ac:dyDescent="0.25">
      <c r="A32" s="22"/>
      <c r="F32" s="9"/>
      <c r="K32" s="9"/>
      <c r="P32" s="95"/>
      <c r="U32" s="95"/>
      <c r="W32" s="153"/>
      <c r="X32" s="153"/>
      <c r="Y32" s="153"/>
      <c r="Z32" s="153"/>
      <c r="AA32" s="153"/>
      <c r="AB32" s="153"/>
      <c r="AC32" s="153"/>
      <c r="AD32" s="153"/>
      <c r="AE32" s="155"/>
      <c r="AF32" s="153"/>
      <c r="AG32" s="153"/>
      <c r="AH32" s="153"/>
      <c r="AI32" s="153"/>
      <c r="AJ32" s="155"/>
      <c r="AK32" s="153"/>
      <c r="AL32" s="153"/>
      <c r="AM32" s="153"/>
      <c r="AN32" s="153"/>
      <c r="AO32" s="155"/>
      <c r="AP32" s="153"/>
      <c r="AQ32" s="153"/>
      <c r="AR32" s="153"/>
      <c r="AS32" s="153"/>
      <c r="AT32" s="155"/>
      <c r="AU32" s="153"/>
    </row>
    <row r="33" spans="1:47" ht="14.1" customHeight="1" x14ac:dyDescent="0.25">
      <c r="A33" s="18" t="s">
        <v>206</v>
      </c>
      <c r="F33" s="9"/>
      <c r="K33" s="9"/>
      <c r="P33" s="95"/>
      <c r="U33" s="95"/>
      <c r="Z33" s="95"/>
      <c r="AE33" s="95"/>
      <c r="AJ33" s="95"/>
      <c r="AO33" s="95"/>
      <c r="AT33" s="95"/>
    </row>
    <row r="34" spans="1:47" ht="15" customHeight="1" x14ac:dyDescent="0.25">
      <c r="A34" s="21" t="s">
        <v>199</v>
      </c>
      <c r="B34" s="37">
        <f>'Reconciliation Adj EBITDA'!B25</f>
        <v>109</v>
      </c>
      <c r="C34" s="37">
        <f>'Reconciliation Adj EBITDA'!C25</f>
        <v>115</v>
      </c>
      <c r="D34" s="37">
        <f>'Reconciliation Adj EBITDA'!D25</f>
        <v>54</v>
      </c>
      <c r="E34" s="37">
        <f>'Reconciliation Adj EBITDA'!E25</f>
        <v>46</v>
      </c>
      <c r="F34" s="48">
        <f>'Reconciliation Adj EBITDA'!F25</f>
        <v>324</v>
      </c>
      <c r="G34" s="37">
        <f>'Reconciliation Adj EBITDA'!G25</f>
        <v>40</v>
      </c>
      <c r="H34" s="37">
        <f>'Reconciliation Adj EBITDA'!H25</f>
        <v>44</v>
      </c>
      <c r="I34" s="37">
        <f>'Reconciliation Adj EBITDA'!I25</f>
        <v>3</v>
      </c>
      <c r="J34" s="37">
        <f>'Reconciliation Adj EBITDA'!J25</f>
        <v>-3</v>
      </c>
      <c r="K34" s="48">
        <f>'Reconciliation Adj EBITDA'!K25</f>
        <v>85</v>
      </c>
      <c r="L34" s="37">
        <f>'Reconciliation Adj EBITDA'!L25</f>
        <v>0</v>
      </c>
      <c r="M34" s="37">
        <f>'Reconciliation Adj EBITDA'!M25</f>
        <v>0</v>
      </c>
      <c r="N34" s="37">
        <f>'Reconciliation Adj EBITDA'!N25</f>
        <v>0</v>
      </c>
      <c r="O34" s="37">
        <f>'Reconciliation Adj EBITDA'!O25</f>
        <v>0</v>
      </c>
      <c r="P34" s="100">
        <f>'Reconciliation Adj EBITDA'!P25</f>
        <v>0</v>
      </c>
      <c r="Q34" s="37">
        <f>'Reconciliation Adj EBITDA'!Q25</f>
        <v>0</v>
      </c>
      <c r="R34" s="37">
        <f>'Reconciliation Adj EBITDA'!R25</f>
        <v>0</v>
      </c>
      <c r="S34" s="37">
        <f>'Reconciliation Adj EBITDA'!S25</f>
        <v>0</v>
      </c>
      <c r="T34" s="37">
        <f>'Reconciliation Adj EBITDA'!T25</f>
        <v>0</v>
      </c>
      <c r="U34" s="100">
        <f>'Reconciliation Adj EBITDA'!U25</f>
        <v>0</v>
      </c>
      <c r="V34" s="37">
        <f>'Reconciliation Adj EBITDA'!V25</f>
        <v>0</v>
      </c>
      <c r="W34" s="37">
        <f>'Reconciliation Adj EBITDA'!W25</f>
        <v>0</v>
      </c>
      <c r="X34" s="37">
        <f>'Reconciliation Adj EBITDA'!X25</f>
        <v>0</v>
      </c>
      <c r="Y34" s="37">
        <f>'Reconciliation Adj EBITDA'!Y25</f>
        <v>0</v>
      </c>
      <c r="Z34" s="100">
        <f>'Reconciliation Adj EBITDA'!Z25</f>
        <v>0</v>
      </c>
      <c r="AA34" s="37">
        <f>'Reconciliation Adj EBITDA'!AA25</f>
        <v>0</v>
      </c>
      <c r="AB34" s="37">
        <f>'Reconciliation Adj EBITDA'!AB25</f>
        <v>0</v>
      </c>
      <c r="AC34" s="37">
        <f>'Reconciliation Adj EBITDA'!AC25</f>
        <v>0</v>
      </c>
      <c r="AD34" s="37">
        <f>'Reconciliation Adj EBITDA'!AD25</f>
        <v>0</v>
      </c>
      <c r="AE34" s="100">
        <f>'Reconciliation Adj EBITDA'!AE25</f>
        <v>0</v>
      </c>
      <c r="AF34" s="37">
        <f>'Reconciliation Adj EBITDA'!AF25</f>
        <v>0</v>
      </c>
      <c r="AG34" s="37">
        <f>'Reconciliation Adj EBITDA'!AG25</f>
        <v>0</v>
      </c>
      <c r="AH34" s="37">
        <f>'Reconciliation Adj EBITDA'!AH25</f>
        <v>0</v>
      </c>
      <c r="AI34" s="37">
        <f>'Reconciliation Adj EBITDA'!AI25</f>
        <v>0</v>
      </c>
      <c r="AJ34" s="100">
        <f>'Reconciliation Adj EBITDA'!AJ25</f>
        <v>0</v>
      </c>
      <c r="AK34" s="37">
        <f>'Reconciliation Adj EBITDA'!AK25</f>
        <v>0</v>
      </c>
      <c r="AL34" s="37">
        <f>'Reconciliation Adj EBITDA'!AL25</f>
        <v>0</v>
      </c>
      <c r="AM34" s="37">
        <f>'Reconciliation Adj EBITDA'!AM25</f>
        <v>0</v>
      </c>
      <c r="AN34" s="37">
        <f>'Reconciliation Adj EBITDA'!AN25</f>
        <v>0</v>
      </c>
      <c r="AO34" s="100">
        <f>'Reconciliation Adj EBITDA'!AO25</f>
        <v>0</v>
      </c>
      <c r="AP34" s="37">
        <f>'Reconciliation Adj EBITDA'!AP25</f>
        <v>0</v>
      </c>
      <c r="AQ34" s="37">
        <f>'Reconciliation Adj EBITDA'!AQ25</f>
        <v>0</v>
      </c>
      <c r="AR34" s="37">
        <f>'Reconciliation Adj EBITDA'!AR25</f>
        <v>0</v>
      </c>
      <c r="AS34" s="37">
        <f>'Reconciliation Adj EBITDA'!AS25</f>
        <v>0</v>
      </c>
      <c r="AT34" s="100">
        <f>'Reconciliation Adj EBITDA'!AT25</f>
        <v>0</v>
      </c>
      <c r="AU34" s="37">
        <f>'Reconciliation Adj EBITDA'!AU25</f>
        <v>0</v>
      </c>
    </row>
    <row r="35" spans="1:47" ht="15" customHeight="1" x14ac:dyDescent="0.25">
      <c r="A35" s="21" t="s">
        <v>201</v>
      </c>
      <c r="B35" s="37">
        <f>'Reconciliation Adj EBITDA'!B26</f>
        <v>0</v>
      </c>
      <c r="C35" s="37">
        <f>'Reconciliation Adj EBITDA'!C26</f>
        <v>0</v>
      </c>
      <c r="D35" s="37">
        <f>'Reconciliation Adj EBITDA'!D26</f>
        <v>0</v>
      </c>
      <c r="E35" s="37">
        <f>'Reconciliation Adj EBITDA'!E26</f>
        <v>-2218</v>
      </c>
      <c r="F35" s="48">
        <f>'Reconciliation Adj EBITDA'!F26</f>
        <v>-2218</v>
      </c>
      <c r="G35" s="37">
        <f>'Reconciliation Adj EBITDA'!G26</f>
        <v>0</v>
      </c>
      <c r="H35" s="37">
        <f>'Reconciliation Adj EBITDA'!H26</f>
        <v>0</v>
      </c>
      <c r="I35" s="37">
        <f>'Reconciliation Adj EBITDA'!I26</f>
        <v>0</v>
      </c>
      <c r="J35" s="37">
        <f>'Reconciliation Adj EBITDA'!J26</f>
        <v>0</v>
      </c>
      <c r="K35" s="48">
        <f>'Reconciliation Adj EBITDA'!K26</f>
        <v>0</v>
      </c>
      <c r="L35" s="37">
        <f>'Reconciliation Adj EBITDA'!L26</f>
        <v>0</v>
      </c>
      <c r="M35" s="37">
        <f>'Reconciliation Adj EBITDA'!M26</f>
        <v>0</v>
      </c>
      <c r="N35" s="37">
        <f>'Reconciliation Adj EBITDA'!N26</f>
        <v>0</v>
      </c>
      <c r="O35" s="37">
        <f>'Reconciliation Adj EBITDA'!O26</f>
        <v>0</v>
      </c>
      <c r="P35" s="100">
        <f>'Reconciliation Adj EBITDA'!P26</f>
        <v>0</v>
      </c>
      <c r="Q35" s="37">
        <f>'Reconciliation Adj EBITDA'!Q26</f>
        <v>0</v>
      </c>
      <c r="R35" s="37">
        <f>'Reconciliation Adj EBITDA'!R26</f>
        <v>0</v>
      </c>
      <c r="S35" s="37">
        <f>'Reconciliation Adj EBITDA'!S26</f>
        <v>0</v>
      </c>
      <c r="T35" s="37">
        <f>'Reconciliation Adj EBITDA'!T26</f>
        <v>0</v>
      </c>
      <c r="U35" s="100">
        <f>'Reconciliation Adj EBITDA'!U26</f>
        <v>0</v>
      </c>
      <c r="V35" s="37">
        <f>'Reconciliation Adj EBITDA'!V26</f>
        <v>0</v>
      </c>
      <c r="W35" s="37">
        <f>'Reconciliation Adj EBITDA'!W26</f>
        <v>0</v>
      </c>
      <c r="X35" s="37">
        <f>'Reconciliation Adj EBITDA'!X26</f>
        <v>0</v>
      </c>
      <c r="Y35" s="37">
        <f>'Reconciliation Adj EBITDA'!Y26</f>
        <v>0</v>
      </c>
      <c r="Z35" s="100">
        <f>'Reconciliation Adj EBITDA'!Z26</f>
        <v>0</v>
      </c>
      <c r="AA35" s="37">
        <f>'Reconciliation Adj EBITDA'!AA26</f>
        <v>0</v>
      </c>
      <c r="AB35" s="37">
        <f>'Reconciliation Adj EBITDA'!AB26</f>
        <v>0</v>
      </c>
      <c r="AC35" s="37">
        <f>'Reconciliation Adj EBITDA'!AC26</f>
        <v>0</v>
      </c>
      <c r="AD35" s="37">
        <f>'Reconciliation Adj EBITDA'!AD26</f>
        <v>0</v>
      </c>
      <c r="AE35" s="100">
        <f>'Reconciliation Adj EBITDA'!AE26</f>
        <v>0</v>
      </c>
      <c r="AF35" s="37">
        <f>'Reconciliation Adj EBITDA'!AF26</f>
        <v>0</v>
      </c>
      <c r="AG35" s="37">
        <f>'Reconciliation Adj EBITDA'!AG26</f>
        <v>0</v>
      </c>
      <c r="AH35" s="37">
        <f>'Reconciliation Adj EBITDA'!AH26</f>
        <v>0</v>
      </c>
      <c r="AI35" s="37">
        <f>'Reconciliation Adj EBITDA'!AI26</f>
        <v>0</v>
      </c>
      <c r="AJ35" s="100">
        <f>'Reconciliation Adj EBITDA'!AJ26</f>
        <v>0</v>
      </c>
      <c r="AK35" s="37">
        <f>'Reconciliation Adj EBITDA'!AK26</f>
        <v>0</v>
      </c>
      <c r="AL35" s="37">
        <f>'Reconciliation Adj EBITDA'!AL26</f>
        <v>0</v>
      </c>
      <c r="AM35" s="37">
        <f>'Reconciliation Adj EBITDA'!AM26</f>
        <v>0</v>
      </c>
      <c r="AN35" s="37">
        <f>'Reconciliation Adj EBITDA'!AN26</f>
        <v>0</v>
      </c>
      <c r="AO35" s="100">
        <f>'Reconciliation Adj EBITDA'!AO26</f>
        <v>0</v>
      </c>
      <c r="AP35" s="37">
        <f>'Reconciliation Adj EBITDA'!AP26</f>
        <v>0</v>
      </c>
      <c r="AQ35" s="37">
        <f>'Reconciliation Adj EBITDA'!AQ26</f>
        <v>0</v>
      </c>
      <c r="AR35" s="37">
        <f>'Reconciliation Adj EBITDA'!AR26</f>
        <v>0</v>
      </c>
      <c r="AS35" s="37">
        <f>'Reconciliation Adj EBITDA'!AS26</f>
        <v>0</v>
      </c>
      <c r="AT35" s="100">
        <f>'Reconciliation Adj EBITDA'!AT26</f>
        <v>0</v>
      </c>
      <c r="AU35" s="37">
        <f>'Reconciliation Adj EBITDA'!AU26</f>
        <v>0</v>
      </c>
    </row>
    <row r="36" spans="1:47" ht="14.1" customHeight="1" thickBot="1" x14ac:dyDescent="0.3">
      <c r="A36" s="22" t="s">
        <v>229</v>
      </c>
      <c r="B36" s="76">
        <f t="shared" ref="B36:Q36" si="31">SUM(B34:B35)</f>
        <v>109</v>
      </c>
      <c r="C36" s="76">
        <f t="shared" si="31"/>
        <v>115</v>
      </c>
      <c r="D36" s="76">
        <f t="shared" si="31"/>
        <v>54</v>
      </c>
      <c r="E36" s="76">
        <f t="shared" si="31"/>
        <v>-2172</v>
      </c>
      <c r="F36" s="79">
        <f t="shared" si="31"/>
        <v>-1894</v>
      </c>
      <c r="G36" s="76">
        <f t="shared" si="31"/>
        <v>40</v>
      </c>
      <c r="H36" s="76">
        <f t="shared" si="31"/>
        <v>44</v>
      </c>
      <c r="I36" s="76">
        <f t="shared" si="31"/>
        <v>3</v>
      </c>
      <c r="J36" s="76">
        <f t="shared" si="31"/>
        <v>-3</v>
      </c>
      <c r="K36" s="79">
        <f t="shared" si="31"/>
        <v>85</v>
      </c>
      <c r="L36" s="76">
        <f t="shared" si="31"/>
        <v>0</v>
      </c>
      <c r="M36" s="76">
        <f t="shared" si="31"/>
        <v>0</v>
      </c>
      <c r="N36" s="76">
        <f t="shared" si="31"/>
        <v>0</v>
      </c>
      <c r="O36" s="76">
        <f t="shared" si="31"/>
        <v>0</v>
      </c>
      <c r="P36" s="137">
        <f t="shared" si="31"/>
        <v>0</v>
      </c>
      <c r="Q36" s="76">
        <f t="shared" si="31"/>
        <v>0</v>
      </c>
      <c r="R36" s="76">
        <f t="shared" ref="R36:V36" si="32">SUM(R34:R35)</f>
        <v>0</v>
      </c>
      <c r="S36" s="76">
        <f t="shared" si="32"/>
        <v>0</v>
      </c>
      <c r="T36" s="76">
        <f t="shared" si="32"/>
        <v>0</v>
      </c>
      <c r="U36" s="137">
        <f t="shared" si="32"/>
        <v>0</v>
      </c>
      <c r="V36" s="76">
        <f t="shared" si="32"/>
        <v>0</v>
      </c>
      <c r="W36" s="76">
        <f t="shared" ref="W36:AA36" si="33">SUM(W34:W35)</f>
        <v>0</v>
      </c>
      <c r="X36" s="76">
        <f t="shared" si="33"/>
        <v>0</v>
      </c>
      <c r="Y36" s="76">
        <f t="shared" si="33"/>
        <v>0</v>
      </c>
      <c r="Z36" s="137">
        <f t="shared" si="33"/>
        <v>0</v>
      </c>
      <c r="AA36" s="76">
        <f t="shared" si="33"/>
        <v>0</v>
      </c>
      <c r="AB36" s="76">
        <f t="shared" ref="AB36:AF36" si="34">SUM(AB34:AB35)</f>
        <v>0</v>
      </c>
      <c r="AC36" s="76">
        <f t="shared" si="34"/>
        <v>0</v>
      </c>
      <c r="AD36" s="76">
        <f t="shared" si="34"/>
        <v>0</v>
      </c>
      <c r="AE36" s="137">
        <f t="shared" si="34"/>
        <v>0</v>
      </c>
      <c r="AF36" s="76">
        <f t="shared" si="34"/>
        <v>0</v>
      </c>
      <c r="AG36" s="76">
        <f t="shared" ref="AG36:AK36" si="35">SUM(AG34:AG35)</f>
        <v>0</v>
      </c>
      <c r="AH36" s="76">
        <f t="shared" si="35"/>
        <v>0</v>
      </c>
      <c r="AI36" s="76">
        <f t="shared" si="35"/>
        <v>0</v>
      </c>
      <c r="AJ36" s="137">
        <f t="shared" si="35"/>
        <v>0</v>
      </c>
      <c r="AK36" s="76">
        <f t="shared" si="35"/>
        <v>0</v>
      </c>
      <c r="AL36" s="76">
        <f t="shared" ref="AL36:AP36" si="36">SUM(AL34:AL35)</f>
        <v>0</v>
      </c>
      <c r="AM36" s="76">
        <f t="shared" si="36"/>
        <v>0</v>
      </c>
      <c r="AN36" s="76">
        <f t="shared" si="36"/>
        <v>0</v>
      </c>
      <c r="AO36" s="137">
        <f t="shared" si="36"/>
        <v>0</v>
      </c>
      <c r="AP36" s="76">
        <f t="shared" si="36"/>
        <v>0</v>
      </c>
      <c r="AQ36" s="76">
        <f t="shared" ref="AQ36:AU36" si="37">SUM(AQ34:AQ35)</f>
        <v>0</v>
      </c>
      <c r="AR36" s="76">
        <f t="shared" si="37"/>
        <v>0</v>
      </c>
      <c r="AS36" s="76">
        <f t="shared" si="37"/>
        <v>0</v>
      </c>
      <c r="AT36" s="137">
        <f t="shared" si="37"/>
        <v>0</v>
      </c>
      <c r="AU36" s="76">
        <f t="shared" si="37"/>
        <v>0</v>
      </c>
    </row>
    <row r="37" spans="1:47" ht="15" customHeight="1" thickTop="1" x14ac:dyDescent="0.25">
      <c r="F37" s="9"/>
      <c r="K37" s="9"/>
      <c r="P37" s="95"/>
      <c r="U37" s="95"/>
      <c r="Z37" s="95"/>
      <c r="AE37" s="95"/>
      <c r="AJ37" s="95"/>
      <c r="AO37" s="95"/>
      <c r="AT37" s="95"/>
    </row>
    <row r="38" spans="1:47" ht="15" customHeight="1" x14ac:dyDescent="0.25">
      <c r="A38" s="18" t="s">
        <v>208</v>
      </c>
      <c r="F38" s="9"/>
      <c r="K38" s="9"/>
      <c r="P38" s="95"/>
      <c r="U38" s="95"/>
      <c r="Z38" s="95"/>
      <c r="AE38" s="95"/>
      <c r="AJ38" s="95"/>
      <c r="AO38" s="95"/>
      <c r="AT38" s="95"/>
    </row>
    <row r="39" spans="1:47" ht="15" customHeight="1" x14ac:dyDescent="0.25">
      <c r="A39" s="21" t="s">
        <v>107</v>
      </c>
      <c r="B39" s="37">
        <f>'Reconciliation Adj EBITDA'!B30</f>
        <v>0</v>
      </c>
      <c r="C39" s="37">
        <f>'Reconciliation Adj EBITDA'!C30</f>
        <v>0</v>
      </c>
      <c r="D39" s="37">
        <f>'Reconciliation Adj EBITDA'!D30</f>
        <v>0</v>
      </c>
      <c r="E39" s="37">
        <f>'Reconciliation Adj EBITDA'!E30</f>
        <v>0</v>
      </c>
      <c r="F39" s="48">
        <f>'Reconciliation Adj EBITDA'!F30</f>
        <v>0</v>
      </c>
      <c r="G39" s="37">
        <f>'Reconciliation Adj EBITDA'!G30</f>
        <v>0</v>
      </c>
      <c r="H39" s="37">
        <f>'Reconciliation Adj EBITDA'!H30</f>
        <v>0</v>
      </c>
      <c r="I39" s="37">
        <f>'Reconciliation Adj EBITDA'!I30</f>
        <v>0</v>
      </c>
      <c r="J39" s="37">
        <f>'Reconciliation Adj EBITDA'!J30</f>
        <v>0</v>
      </c>
      <c r="K39" s="48">
        <f>'Reconciliation Adj EBITDA'!K30</f>
        <v>0</v>
      </c>
      <c r="L39" s="37">
        <f>'Reconciliation Adj EBITDA'!L30</f>
        <v>0</v>
      </c>
      <c r="M39" s="37">
        <f>'Reconciliation Adj EBITDA'!M30</f>
        <v>2497</v>
      </c>
      <c r="N39" s="37">
        <f>'Reconciliation Adj EBITDA'!N30</f>
        <v>0</v>
      </c>
      <c r="O39" s="37">
        <f>'Reconciliation Adj EBITDA'!O30</f>
        <v>0</v>
      </c>
      <c r="P39" s="100">
        <f>'Reconciliation Adj EBITDA'!P30</f>
        <v>2497</v>
      </c>
      <c r="Q39" s="37">
        <f>'Reconciliation Adj EBITDA'!Q30</f>
        <v>0</v>
      </c>
      <c r="R39" s="37">
        <f>'Reconciliation Adj EBITDA'!R30</f>
        <v>0</v>
      </c>
      <c r="S39" s="37">
        <f>'Reconciliation Adj EBITDA'!S30</f>
        <v>0</v>
      </c>
      <c r="T39" s="37">
        <f>'Reconciliation Adj EBITDA'!T30</f>
        <v>0</v>
      </c>
      <c r="U39" s="100">
        <f>'Reconciliation Adj EBITDA'!U30</f>
        <v>0</v>
      </c>
      <c r="V39" s="37">
        <f>'Reconciliation Adj EBITDA'!V30</f>
        <v>0</v>
      </c>
      <c r="W39" s="37">
        <f>'Reconciliation Adj EBITDA'!W30</f>
        <v>0</v>
      </c>
      <c r="X39" s="37">
        <f>'Reconciliation Adj EBITDA'!X30</f>
        <v>0</v>
      </c>
      <c r="Y39" s="37">
        <f>'Reconciliation Adj EBITDA'!Y30</f>
        <v>0</v>
      </c>
      <c r="Z39" s="100">
        <f>'Reconciliation Adj EBITDA'!Z30</f>
        <v>0</v>
      </c>
      <c r="AA39" s="37">
        <f>'Reconciliation Adj EBITDA'!AA30</f>
        <v>0</v>
      </c>
      <c r="AB39" s="37">
        <f>'Reconciliation Adj EBITDA'!AB30</f>
        <v>0</v>
      </c>
      <c r="AC39" s="37">
        <f>'Reconciliation Adj EBITDA'!AC30</f>
        <v>0</v>
      </c>
      <c r="AD39" s="37">
        <f>'Reconciliation Adj EBITDA'!AD30</f>
        <v>0</v>
      </c>
      <c r="AE39" s="100">
        <f>'Reconciliation Adj EBITDA'!AE30</f>
        <v>0</v>
      </c>
      <c r="AF39" s="37">
        <f>'Reconciliation Adj EBITDA'!AF30</f>
        <v>0</v>
      </c>
      <c r="AG39" s="37">
        <f>'Reconciliation Adj EBITDA'!AG30</f>
        <v>0</v>
      </c>
      <c r="AH39" s="37">
        <f>'Reconciliation Adj EBITDA'!AH30</f>
        <v>0</v>
      </c>
      <c r="AI39" s="37">
        <f>'Reconciliation Adj EBITDA'!AI30</f>
        <v>0</v>
      </c>
      <c r="AJ39" s="100">
        <f>'Reconciliation Adj EBITDA'!AJ30</f>
        <v>0</v>
      </c>
      <c r="AK39" s="37">
        <f>'Reconciliation Adj EBITDA'!AK30</f>
        <v>0</v>
      </c>
      <c r="AL39" s="37">
        <f>'Reconciliation Adj EBITDA'!AL30</f>
        <v>0</v>
      </c>
      <c r="AM39" s="37">
        <f>'Reconciliation Adj EBITDA'!AM30</f>
        <v>0</v>
      </c>
      <c r="AN39" s="37">
        <f>'Reconciliation Adj EBITDA'!AN30</f>
        <v>0</v>
      </c>
      <c r="AO39" s="100">
        <f>'Reconciliation Adj EBITDA'!AO30</f>
        <v>0</v>
      </c>
      <c r="AP39" s="37">
        <f>'Reconciliation Adj EBITDA'!AP30</f>
        <v>0</v>
      </c>
      <c r="AQ39" s="37">
        <f>'Reconciliation Adj EBITDA'!AQ30</f>
        <v>0</v>
      </c>
      <c r="AR39" s="37">
        <f>'Reconciliation Adj EBITDA'!AR30</f>
        <v>0</v>
      </c>
      <c r="AS39" s="37">
        <f>'Reconciliation Adj EBITDA'!AS30</f>
        <v>0</v>
      </c>
      <c r="AT39" s="100">
        <f>'Reconciliation Adj EBITDA'!AT30</f>
        <v>0</v>
      </c>
      <c r="AU39" s="37">
        <f>'Reconciliation Adj EBITDA'!AU30</f>
        <v>0</v>
      </c>
    </row>
    <row r="40" spans="1:47" ht="15" customHeight="1" x14ac:dyDescent="0.25">
      <c r="A40" s="21" t="s">
        <v>199</v>
      </c>
      <c r="B40" s="37">
        <f>'Reconciliation Adj EBITDA'!B31</f>
        <v>0</v>
      </c>
      <c r="C40" s="37">
        <f>'Reconciliation Adj EBITDA'!C31</f>
        <v>0</v>
      </c>
      <c r="D40" s="37">
        <f>'Reconciliation Adj EBITDA'!D31</f>
        <v>0</v>
      </c>
      <c r="E40" s="37">
        <f>'Reconciliation Adj EBITDA'!E31</f>
        <v>0</v>
      </c>
      <c r="F40" s="48">
        <f>'Reconciliation Adj EBITDA'!F31</f>
        <v>0</v>
      </c>
      <c r="G40" s="37">
        <f>'Reconciliation Adj EBITDA'!G31</f>
        <v>0</v>
      </c>
      <c r="H40" s="37">
        <f>'Reconciliation Adj EBITDA'!H31</f>
        <v>0</v>
      </c>
      <c r="I40" s="37">
        <f>'Reconciliation Adj EBITDA'!I31</f>
        <v>0</v>
      </c>
      <c r="J40" s="37">
        <f>'Reconciliation Adj EBITDA'!J31</f>
        <v>0</v>
      </c>
      <c r="K40" s="48">
        <f>'Reconciliation Adj EBITDA'!K31</f>
        <v>0</v>
      </c>
      <c r="L40" s="37">
        <f>'Reconciliation Adj EBITDA'!L31</f>
        <v>0</v>
      </c>
      <c r="M40" s="37">
        <f>'Reconciliation Adj EBITDA'!M31</f>
        <v>0</v>
      </c>
      <c r="N40" s="37">
        <f>'Reconciliation Adj EBITDA'!N31</f>
        <v>0</v>
      </c>
      <c r="O40" s="37">
        <f>'Reconciliation Adj EBITDA'!O31</f>
        <v>2911</v>
      </c>
      <c r="P40" s="100">
        <f>'Reconciliation Adj EBITDA'!P31</f>
        <v>2911</v>
      </c>
      <c r="Q40" s="37">
        <f>'Reconciliation Adj EBITDA'!Q31</f>
        <v>-348</v>
      </c>
      <c r="R40" s="37">
        <f>'Reconciliation Adj EBITDA'!R31</f>
        <v>16</v>
      </c>
      <c r="S40" s="37">
        <f>'Reconciliation Adj EBITDA'!S31</f>
        <v>0</v>
      </c>
      <c r="T40" s="37">
        <f>'Reconciliation Adj EBITDA'!T31</f>
        <v>0</v>
      </c>
      <c r="U40" s="100">
        <f>'Reconciliation Adj EBITDA'!U31</f>
        <v>-332</v>
      </c>
      <c r="V40" s="37">
        <f>'Reconciliation Adj EBITDA'!V31</f>
        <v>0</v>
      </c>
      <c r="W40" s="37">
        <f>'Reconciliation Adj EBITDA'!W31</f>
        <v>124</v>
      </c>
      <c r="X40" s="37">
        <f>'Reconciliation Adj EBITDA'!X31</f>
        <v>172</v>
      </c>
      <c r="Y40" s="37">
        <f>'Reconciliation Adj EBITDA'!Y31</f>
        <v>1704</v>
      </c>
      <c r="Z40" s="100">
        <f>'Reconciliation Adj EBITDA'!Z31</f>
        <v>2000</v>
      </c>
      <c r="AA40" s="37">
        <f>'Reconciliation Adj EBITDA'!AA31</f>
        <v>995</v>
      </c>
      <c r="AB40" s="37">
        <f>'Reconciliation Adj EBITDA'!AB31</f>
        <v>513</v>
      </c>
      <c r="AC40" s="37">
        <f>'Reconciliation Adj EBITDA'!AC31</f>
        <v>1985</v>
      </c>
      <c r="AD40" s="37">
        <f>'Reconciliation Adj EBITDA'!AD31</f>
        <v>747</v>
      </c>
      <c r="AE40" s="100">
        <f>'Reconciliation Adj EBITDA'!AE31</f>
        <v>4240</v>
      </c>
      <c r="AF40" s="37">
        <f>'Reconciliation Adj EBITDA'!AF31</f>
        <v>1436</v>
      </c>
      <c r="AG40" s="37">
        <f>'Reconciliation Adj EBITDA'!AG31</f>
        <v>4831</v>
      </c>
      <c r="AH40" s="37">
        <f>'Reconciliation Adj EBITDA'!AH31</f>
        <v>-1029</v>
      </c>
      <c r="AI40" s="37">
        <f>'Reconciliation Adj EBITDA'!AI31</f>
        <v>513</v>
      </c>
      <c r="AJ40" s="100">
        <f>'Reconciliation Adj EBITDA'!AJ31</f>
        <v>5751</v>
      </c>
      <c r="AK40" s="37">
        <f>'Reconciliation Adj EBITDA'!AK31</f>
        <v>9</v>
      </c>
      <c r="AL40" s="37">
        <f>'Reconciliation Adj EBITDA'!AL31</f>
        <v>1029</v>
      </c>
      <c r="AM40" s="37">
        <f>'Reconciliation Adj EBITDA'!AM31</f>
        <v>-53</v>
      </c>
      <c r="AN40" s="37">
        <f>'Reconciliation Adj EBITDA'!AN31</f>
        <v>633</v>
      </c>
      <c r="AO40" s="100">
        <f>'Reconciliation Adj EBITDA'!AO31</f>
        <v>1618</v>
      </c>
      <c r="AP40" s="37">
        <f>'Reconciliation Adj EBITDA'!AP31</f>
        <v>874</v>
      </c>
      <c r="AQ40" s="37">
        <f>'Reconciliation Adj EBITDA'!AQ31</f>
        <v>4467</v>
      </c>
      <c r="AR40" s="37">
        <f>'Reconciliation Adj EBITDA'!AR31</f>
        <v>3482</v>
      </c>
      <c r="AS40" s="37">
        <f>'Reconciliation Adj EBITDA'!AS31</f>
        <v>1029</v>
      </c>
      <c r="AT40" s="100">
        <f>'Reconciliation Adj EBITDA'!AT31</f>
        <v>9853</v>
      </c>
      <c r="AU40" s="37">
        <f>'Reconciliation Adj EBITDA'!AU31</f>
        <v>471</v>
      </c>
    </row>
    <row r="41" spans="1:47" ht="15" customHeight="1" x14ac:dyDescent="0.25">
      <c r="A41" s="21" t="s">
        <v>200</v>
      </c>
      <c r="B41" s="37">
        <f>'Reconciliation Adj EBITDA'!B32</f>
        <v>0</v>
      </c>
      <c r="C41" s="37">
        <f>'Reconciliation Adj EBITDA'!C32</f>
        <v>0</v>
      </c>
      <c r="D41" s="37">
        <f>'Reconciliation Adj EBITDA'!D32</f>
        <v>0</v>
      </c>
      <c r="E41" s="37">
        <f>'Reconciliation Adj EBITDA'!E32</f>
        <v>0</v>
      </c>
      <c r="F41" s="48">
        <f>'Reconciliation Adj EBITDA'!F32</f>
        <v>0</v>
      </c>
      <c r="G41" s="37">
        <f>'Reconciliation Adj EBITDA'!G32</f>
        <v>0</v>
      </c>
      <c r="H41" s="37">
        <f>'Reconciliation Adj EBITDA'!H32</f>
        <v>0</v>
      </c>
      <c r="I41" s="37">
        <f>'Reconciliation Adj EBITDA'!I32</f>
        <v>0</v>
      </c>
      <c r="J41" s="37">
        <f>'Reconciliation Adj EBITDA'!J32</f>
        <v>0</v>
      </c>
      <c r="K41" s="48">
        <f>'Reconciliation Adj EBITDA'!K32</f>
        <v>0</v>
      </c>
      <c r="L41" s="37">
        <f>'Reconciliation Adj EBITDA'!L32</f>
        <v>0</v>
      </c>
      <c r="M41" s="37">
        <f>'Reconciliation Adj EBITDA'!M32</f>
        <v>690</v>
      </c>
      <c r="N41" s="37">
        <f>'Reconciliation Adj EBITDA'!N32</f>
        <v>0</v>
      </c>
      <c r="O41" s="37">
        <f>'Reconciliation Adj EBITDA'!O32</f>
        <v>1135</v>
      </c>
      <c r="P41" s="100">
        <f>'Reconciliation Adj EBITDA'!P32</f>
        <v>1825</v>
      </c>
      <c r="Q41" s="37">
        <f>'Reconciliation Adj EBITDA'!Q32</f>
        <v>107</v>
      </c>
      <c r="R41" s="37">
        <f>'Reconciliation Adj EBITDA'!R32</f>
        <v>183</v>
      </c>
      <c r="S41" s="37">
        <f>'Reconciliation Adj EBITDA'!S32</f>
        <v>0</v>
      </c>
      <c r="T41" s="37">
        <f>'Reconciliation Adj EBITDA'!T32</f>
        <v>0</v>
      </c>
      <c r="U41" s="100">
        <f>'Reconciliation Adj EBITDA'!U32</f>
        <v>290</v>
      </c>
      <c r="V41" s="37">
        <f>'Reconciliation Adj EBITDA'!V32</f>
        <v>1890</v>
      </c>
      <c r="W41" s="37">
        <f>'Reconciliation Adj EBITDA'!W32</f>
        <v>175</v>
      </c>
      <c r="X41" s="37">
        <f>'Reconciliation Adj EBITDA'!X32</f>
        <v>131</v>
      </c>
      <c r="Y41" s="37">
        <f>'Reconciliation Adj EBITDA'!Y32</f>
        <v>6614</v>
      </c>
      <c r="Z41" s="100">
        <f>'Reconciliation Adj EBITDA'!Z32</f>
        <v>8810</v>
      </c>
      <c r="AA41" s="37">
        <f>'Reconciliation Adj EBITDA'!AA32</f>
        <v>1021</v>
      </c>
      <c r="AB41" s="37">
        <f>'Reconciliation Adj EBITDA'!AB32</f>
        <v>415</v>
      </c>
      <c r="AC41" s="37">
        <f>'Reconciliation Adj EBITDA'!AC32</f>
        <v>5357</v>
      </c>
      <c r="AD41" s="37">
        <f>'Reconciliation Adj EBITDA'!AD32</f>
        <v>2605</v>
      </c>
      <c r="AE41" s="100">
        <f>'Reconciliation Adj EBITDA'!AE32</f>
        <v>9398</v>
      </c>
      <c r="AF41" s="37">
        <f>'Reconciliation Adj EBITDA'!AF32</f>
        <v>7367</v>
      </c>
      <c r="AG41" s="37">
        <f>'Reconciliation Adj EBITDA'!AG32</f>
        <v>1551</v>
      </c>
      <c r="AH41" s="37">
        <f>'Reconciliation Adj EBITDA'!AH32</f>
        <v>-106</v>
      </c>
      <c r="AI41" s="37">
        <f>'Reconciliation Adj EBITDA'!AI32</f>
        <v>568</v>
      </c>
      <c r="AJ41" s="100">
        <f>'Reconciliation Adj EBITDA'!AJ32</f>
        <v>9380</v>
      </c>
      <c r="AK41" s="37">
        <f>'Reconciliation Adj EBITDA'!AK32</f>
        <v>456</v>
      </c>
      <c r="AL41" s="37">
        <f>'Reconciliation Adj EBITDA'!AL32</f>
        <v>4076</v>
      </c>
      <c r="AM41" s="37">
        <f>'Reconciliation Adj EBITDA'!AM32</f>
        <v>-624</v>
      </c>
      <c r="AN41" s="37">
        <f>'Reconciliation Adj EBITDA'!AN32</f>
        <v>408</v>
      </c>
      <c r="AO41" s="100">
        <f>'Reconciliation Adj EBITDA'!AO32</f>
        <v>4316</v>
      </c>
      <c r="AP41" s="37">
        <f>'Reconciliation Adj EBITDA'!AP32</f>
        <v>4734</v>
      </c>
      <c r="AQ41" s="37">
        <f>'Reconciliation Adj EBITDA'!AQ32</f>
        <v>12667</v>
      </c>
      <c r="AR41" s="37">
        <f>'Reconciliation Adj EBITDA'!AR32</f>
        <v>-391</v>
      </c>
      <c r="AS41" s="37">
        <f>'Reconciliation Adj EBITDA'!AS32</f>
        <v>2914</v>
      </c>
      <c r="AT41" s="100">
        <f>'Reconciliation Adj EBITDA'!AT32</f>
        <v>19923</v>
      </c>
      <c r="AU41" s="37">
        <f>'Reconciliation Adj EBITDA'!AU32</f>
        <v>494</v>
      </c>
    </row>
    <row r="42" spans="1:47" ht="15" customHeight="1" x14ac:dyDescent="0.25">
      <c r="A42" s="21" t="s">
        <v>201</v>
      </c>
      <c r="B42" s="65">
        <f>'Reconciliation Adj EBITDA'!B33</f>
        <v>0</v>
      </c>
      <c r="C42" s="65">
        <f>'Reconciliation Adj EBITDA'!C33</f>
        <v>0</v>
      </c>
      <c r="D42" s="65">
        <f>'Reconciliation Adj EBITDA'!D33</f>
        <v>0</v>
      </c>
      <c r="E42" s="65">
        <f>'Reconciliation Adj EBITDA'!E33</f>
        <v>0</v>
      </c>
      <c r="F42" s="64">
        <f>'Reconciliation Adj EBITDA'!F33</f>
        <v>0</v>
      </c>
      <c r="G42" s="65">
        <f>'Reconciliation Adj EBITDA'!G33</f>
        <v>0</v>
      </c>
      <c r="H42" s="65">
        <f>'Reconciliation Adj EBITDA'!H33</f>
        <v>0</v>
      </c>
      <c r="I42" s="65">
        <f>'Reconciliation Adj EBITDA'!I33</f>
        <v>0</v>
      </c>
      <c r="J42" s="65">
        <f>'Reconciliation Adj EBITDA'!J33</f>
        <v>0</v>
      </c>
      <c r="K42" s="64">
        <f>'Reconciliation Adj EBITDA'!K33</f>
        <v>0</v>
      </c>
      <c r="L42" s="65">
        <f>'Reconciliation Adj EBITDA'!L33</f>
        <v>0</v>
      </c>
      <c r="M42" s="37">
        <f>'Reconciliation Adj EBITDA'!M33</f>
        <v>112</v>
      </c>
      <c r="N42" s="37">
        <f>'Reconciliation Adj EBITDA'!N33</f>
        <v>0</v>
      </c>
      <c r="O42" s="37">
        <f>'Reconciliation Adj EBITDA'!O33</f>
        <v>11</v>
      </c>
      <c r="P42" s="100">
        <f>'Reconciliation Adj EBITDA'!P33</f>
        <v>123</v>
      </c>
      <c r="Q42" s="37">
        <f>'Reconciliation Adj EBITDA'!Q33</f>
        <v>-11</v>
      </c>
      <c r="R42" s="37">
        <f>'Reconciliation Adj EBITDA'!R33</f>
        <v>0</v>
      </c>
      <c r="S42" s="37">
        <f>'Reconciliation Adj EBITDA'!S33</f>
        <v>0</v>
      </c>
      <c r="T42" s="37">
        <f>'Reconciliation Adj EBITDA'!T33</f>
        <v>0</v>
      </c>
      <c r="U42" s="100">
        <f>'Reconciliation Adj EBITDA'!U33</f>
        <v>-11</v>
      </c>
      <c r="V42" s="37">
        <f>'Reconciliation Adj EBITDA'!V33</f>
        <v>0</v>
      </c>
      <c r="W42" s="37">
        <f>'Reconciliation Adj EBITDA'!W33</f>
        <v>429</v>
      </c>
      <c r="X42" s="37">
        <f>'Reconciliation Adj EBITDA'!X33</f>
        <v>0</v>
      </c>
      <c r="Y42" s="37">
        <f>'Reconciliation Adj EBITDA'!Y33</f>
        <v>2343</v>
      </c>
      <c r="Z42" s="100">
        <f>'Reconciliation Adj EBITDA'!Z33</f>
        <v>2772</v>
      </c>
      <c r="AA42" s="37">
        <f>'Reconciliation Adj EBITDA'!AA33</f>
        <v>193</v>
      </c>
      <c r="AB42" s="37">
        <f>'Reconciliation Adj EBITDA'!AB33</f>
        <v>288</v>
      </c>
      <c r="AC42" s="37">
        <f>'Reconciliation Adj EBITDA'!AC33</f>
        <v>4839</v>
      </c>
      <c r="AD42" s="37">
        <f>'Reconciliation Adj EBITDA'!AD33</f>
        <v>1031</v>
      </c>
      <c r="AE42" s="100">
        <f>'Reconciliation Adj EBITDA'!AE33</f>
        <v>6351</v>
      </c>
      <c r="AF42" s="37">
        <f>'Reconciliation Adj EBITDA'!AF33</f>
        <v>2833</v>
      </c>
      <c r="AG42" s="37">
        <f>'Reconciliation Adj EBITDA'!AG33</f>
        <v>3614</v>
      </c>
      <c r="AH42" s="37">
        <f>'Reconciliation Adj EBITDA'!AH33</f>
        <v>-632</v>
      </c>
      <c r="AI42" s="37">
        <f>'Reconciliation Adj EBITDA'!AI33</f>
        <v>752</v>
      </c>
      <c r="AJ42" s="100">
        <f>'Reconciliation Adj EBITDA'!AJ33</f>
        <v>6567</v>
      </c>
      <c r="AK42" s="37">
        <f>'Reconciliation Adj EBITDA'!AK33</f>
        <v>245</v>
      </c>
      <c r="AL42" s="37">
        <f>'Reconciliation Adj EBITDA'!AL33</f>
        <v>820</v>
      </c>
      <c r="AM42" s="37">
        <f>'Reconciliation Adj EBITDA'!AM33</f>
        <v>596</v>
      </c>
      <c r="AN42" s="37">
        <f>'Reconciliation Adj EBITDA'!AN33</f>
        <v>3082</v>
      </c>
      <c r="AO42" s="100">
        <f>'Reconciliation Adj EBITDA'!AO33</f>
        <v>4743</v>
      </c>
      <c r="AP42" s="37">
        <f>'Reconciliation Adj EBITDA'!AP33</f>
        <v>3994</v>
      </c>
      <c r="AQ42" s="37">
        <f>'Reconciliation Adj EBITDA'!AQ33</f>
        <v>4429</v>
      </c>
      <c r="AR42" s="37">
        <f>'Reconciliation Adj EBITDA'!AR33</f>
        <v>4742</v>
      </c>
      <c r="AS42" s="37">
        <f>'Reconciliation Adj EBITDA'!AS33</f>
        <v>1786</v>
      </c>
      <c r="AT42" s="100">
        <f>'Reconciliation Adj EBITDA'!AT33</f>
        <v>14951</v>
      </c>
      <c r="AU42" s="37">
        <f>'Reconciliation Adj EBITDA'!AU33</f>
        <v>6978</v>
      </c>
    </row>
    <row r="43" spans="1:47" ht="15" customHeight="1" thickBot="1" x14ac:dyDescent="0.3">
      <c r="A43" s="22" t="s">
        <v>230</v>
      </c>
      <c r="B43" s="90">
        <f t="shared" ref="B43:F43" si="38">SUM(B39:B42)</f>
        <v>0</v>
      </c>
      <c r="C43" s="90">
        <f t="shared" si="38"/>
        <v>0</v>
      </c>
      <c r="D43" s="90">
        <f t="shared" si="38"/>
        <v>0</v>
      </c>
      <c r="E43" s="90">
        <f t="shared" si="38"/>
        <v>0</v>
      </c>
      <c r="F43" s="91">
        <f t="shared" si="38"/>
        <v>0</v>
      </c>
      <c r="G43" s="90">
        <f>SUM(G39:G42)</f>
        <v>0</v>
      </c>
      <c r="H43" s="90">
        <f>SUM(H39:H42)</f>
        <v>0</v>
      </c>
      <c r="I43" s="90">
        <f>SUM(I39:I42)</f>
        <v>0</v>
      </c>
      <c r="J43" s="90">
        <f t="shared" ref="J43:P43" si="39">SUM(J39:J42)</f>
        <v>0</v>
      </c>
      <c r="K43" s="91">
        <f t="shared" si="39"/>
        <v>0</v>
      </c>
      <c r="L43" s="90">
        <f t="shared" si="39"/>
        <v>0</v>
      </c>
      <c r="M43" s="90">
        <f>SUM(M39:M42)</f>
        <v>3299</v>
      </c>
      <c r="N43" s="90">
        <f>SUM(N39:N42)</f>
        <v>0</v>
      </c>
      <c r="O43" s="90">
        <f t="shared" si="39"/>
        <v>4057</v>
      </c>
      <c r="P43" s="138">
        <f t="shared" si="39"/>
        <v>7356</v>
      </c>
      <c r="Q43" s="90">
        <f>SUM(Q39:Q42)</f>
        <v>-252</v>
      </c>
      <c r="R43" s="90">
        <f>SUM(R39:R42)</f>
        <v>199</v>
      </c>
      <c r="S43" s="90">
        <f>SUM(S39:S42)</f>
        <v>0</v>
      </c>
      <c r="T43" s="90">
        <f t="shared" ref="T43:U43" si="40">SUM(T39:T42)</f>
        <v>0</v>
      </c>
      <c r="U43" s="138">
        <f t="shared" si="40"/>
        <v>-53</v>
      </c>
      <c r="V43" s="90">
        <f>SUM(V39:V42)</f>
        <v>1890</v>
      </c>
      <c r="W43" s="90">
        <f>SUM(W39:W42)</f>
        <v>728</v>
      </c>
      <c r="X43" s="90">
        <f>SUM(X39:X42)</f>
        <v>303</v>
      </c>
      <c r="Y43" s="90">
        <f t="shared" ref="Y43:Z43" si="41">SUM(Y39:Y42)</f>
        <v>10661</v>
      </c>
      <c r="Z43" s="138">
        <f t="shared" si="41"/>
        <v>13582</v>
      </c>
      <c r="AA43" s="90">
        <f>SUM(AA39:AA42)</f>
        <v>2209</v>
      </c>
      <c r="AB43" s="90">
        <f>SUM(AB39:AB42)</f>
        <v>1216</v>
      </c>
      <c r="AC43" s="90">
        <f>SUM(AC39:AC42)</f>
        <v>12181</v>
      </c>
      <c r="AD43" s="90">
        <f t="shared" ref="AD43:AE43" si="42">SUM(AD39:AD42)</f>
        <v>4383</v>
      </c>
      <c r="AE43" s="138">
        <f t="shared" si="42"/>
        <v>19989</v>
      </c>
      <c r="AF43" s="90">
        <f>SUM(AF39:AF42)</f>
        <v>11636</v>
      </c>
      <c r="AG43" s="90">
        <f>SUM(AG39:AG42)</f>
        <v>9996</v>
      </c>
      <c r="AH43" s="90">
        <f>SUM(AH39:AH42)</f>
        <v>-1767</v>
      </c>
      <c r="AI43" s="90">
        <f t="shared" ref="AI43:AJ43" si="43">SUM(AI39:AI42)</f>
        <v>1833</v>
      </c>
      <c r="AJ43" s="138">
        <f t="shared" si="43"/>
        <v>21698</v>
      </c>
      <c r="AK43" s="90">
        <f>SUM(AK39:AK42)</f>
        <v>710</v>
      </c>
      <c r="AL43" s="90">
        <f>SUM(AL39:AL42)</f>
        <v>5925</v>
      </c>
      <c r="AM43" s="90">
        <f>SUM(AM39:AM42)</f>
        <v>-81</v>
      </c>
      <c r="AN43" s="90">
        <f t="shared" ref="AN43:AO43" si="44">SUM(AN39:AN42)</f>
        <v>4123</v>
      </c>
      <c r="AO43" s="138">
        <f t="shared" si="44"/>
        <v>10677</v>
      </c>
      <c r="AP43" s="90">
        <f>SUM(AP39:AP42)</f>
        <v>9602</v>
      </c>
      <c r="AQ43" s="90">
        <f>SUM(AQ39:AQ42)</f>
        <v>21563</v>
      </c>
      <c r="AR43" s="90">
        <f>SUM(AR39:AR42)</f>
        <v>7833</v>
      </c>
      <c r="AS43" s="90">
        <f t="shared" ref="AS43:AT43" si="45">SUM(AS39:AS42)</f>
        <v>5729</v>
      </c>
      <c r="AT43" s="138">
        <f t="shared" si="45"/>
        <v>44727</v>
      </c>
      <c r="AU43" s="90">
        <f>SUM(AU39:AU42)</f>
        <v>7943</v>
      </c>
    </row>
    <row r="44" spans="1:47" ht="15" customHeight="1" thickTop="1" x14ac:dyDescent="0.25">
      <c r="F44" s="9"/>
      <c r="K44" s="9"/>
      <c r="P44" s="95"/>
      <c r="U44" s="95"/>
      <c r="Z44" s="95"/>
      <c r="AE44" s="95"/>
      <c r="AJ44" s="95"/>
      <c r="AO44" s="95"/>
      <c r="AT44" s="95"/>
    </row>
    <row r="45" spans="1:47" ht="15" customHeight="1" x14ac:dyDescent="0.25"/>
    <row r="46" spans="1:47" ht="15" customHeight="1" x14ac:dyDescent="0.25"/>
    <row r="47" spans="1:47" ht="15" customHeight="1" x14ac:dyDescent="0.25"/>
    <row r="48" spans="1:4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BC84"/>
  <sheetViews>
    <sheetView showGridLines="0" zoomScale="82" zoomScaleNormal="82" workbookViewId="0">
      <pane xSplit="11" topLeftCell="AH1" activePane="topRight" state="frozen"/>
      <selection pane="topRight" activeCell="AV1" sqref="AV1:AV1048576"/>
    </sheetView>
  </sheetViews>
  <sheetFormatPr defaultColWidth="12.6640625" defaultRowHeight="13.2" outlineLevelCol="1" x14ac:dyDescent="0.25"/>
  <cols>
    <col min="1" max="1" width="47.6640625" style="142" customWidth="1"/>
    <col min="2" max="11" width="12.6640625" style="142" hidden="1" customWidth="1" outlineLevel="1"/>
    <col min="12" max="12" width="12.6640625" style="142" hidden="1" customWidth="1" outlineLevel="1" collapsed="1"/>
    <col min="13" max="13" width="12.6640625" style="142" hidden="1" customWidth="1" outlineLevel="1"/>
    <col min="14" max="14" width="12.6640625" style="142" hidden="1" customWidth="1" outlineLevel="1" collapsed="1"/>
    <col min="15" max="19" width="12.6640625" style="142" hidden="1" customWidth="1" outlineLevel="1"/>
    <col min="20" max="20" width="12.6640625" style="142" hidden="1" customWidth="1" collapsed="1"/>
    <col min="21" max="26" width="12.6640625" style="142" hidden="1" customWidth="1"/>
    <col min="27" max="28" width="12.6640625" style="142" customWidth="1"/>
    <col min="29" max="37" width="12.6640625" style="142"/>
    <col min="38" max="38" width="13.77734375" style="147" customWidth="1"/>
    <col min="39" max="40" width="13.33203125" style="147" bestFit="1" customWidth="1"/>
    <col min="41" max="41" width="12.6640625" style="142"/>
    <col min="42" max="42" width="14" style="147" customWidth="1"/>
    <col min="43" max="43" width="13.33203125" style="147" bestFit="1" customWidth="1"/>
    <col min="44" max="44" width="14" style="147" bestFit="1" customWidth="1"/>
    <col min="45" max="45" width="12" style="147" customWidth="1"/>
    <col min="46" max="46" width="16.33203125" style="142" customWidth="1"/>
    <col min="47" max="47" width="14" style="147" customWidth="1"/>
    <col min="48" max="55" width="12.6640625" style="147"/>
    <col min="56" max="16384" width="12.6640625" style="142"/>
  </cols>
  <sheetData>
    <row r="1" spans="1:47" x14ac:dyDescent="0.25">
      <c r="A1" s="179" t="s">
        <v>231</v>
      </c>
    </row>
    <row r="2" spans="1:47" x14ac:dyDescent="0.25">
      <c r="A2" s="12" t="s">
        <v>232</v>
      </c>
    </row>
    <row r="3" spans="1:47" ht="15" customHeight="1" x14ac:dyDescent="0.25">
      <c r="B3" s="157" t="s">
        <v>60</v>
      </c>
      <c r="C3" s="157" t="s">
        <v>61</v>
      </c>
      <c r="D3" s="157" t="s">
        <v>62</v>
      </c>
      <c r="E3" s="157" t="s">
        <v>63</v>
      </c>
      <c r="F3" s="158" t="s">
        <v>64</v>
      </c>
      <c r="G3" s="157" t="s">
        <v>65</v>
      </c>
      <c r="H3" s="157" t="s">
        <v>66</v>
      </c>
      <c r="I3" s="157" t="s">
        <v>67</v>
      </c>
      <c r="J3" s="157" t="s">
        <v>68</v>
      </c>
      <c r="K3" s="158" t="s">
        <v>69</v>
      </c>
      <c r="L3" s="157" t="s">
        <v>70</v>
      </c>
      <c r="M3" s="157" t="s">
        <v>71</v>
      </c>
      <c r="N3" s="157" t="s">
        <v>72</v>
      </c>
      <c r="O3" s="157" t="s">
        <v>73</v>
      </c>
      <c r="P3" s="159" t="s">
        <v>74</v>
      </c>
      <c r="Q3" s="157" t="s">
        <v>75</v>
      </c>
      <c r="R3" s="157" t="s">
        <v>76</v>
      </c>
      <c r="S3" s="157" t="s">
        <v>77</v>
      </c>
      <c r="T3" s="157" t="s">
        <v>78</v>
      </c>
      <c r="U3" s="159" t="s">
        <v>79</v>
      </c>
      <c r="V3" s="157" t="s">
        <v>80</v>
      </c>
      <c r="W3" s="157" t="s">
        <v>81</v>
      </c>
      <c r="X3" s="157" t="s">
        <v>82</v>
      </c>
      <c r="Y3" s="157" t="s">
        <v>83</v>
      </c>
      <c r="Z3" s="159" t="s">
        <v>84</v>
      </c>
      <c r="AA3" s="157" t="s">
        <v>85</v>
      </c>
      <c r="AB3" s="157" t="s">
        <v>86</v>
      </c>
      <c r="AC3" s="157" t="s">
        <v>87</v>
      </c>
      <c r="AD3" s="157" t="s">
        <v>88</v>
      </c>
      <c r="AE3" s="159" t="s">
        <v>89</v>
      </c>
      <c r="AF3" s="157" t="s">
        <v>90</v>
      </c>
      <c r="AG3" s="157" t="s">
        <v>91</v>
      </c>
      <c r="AH3" s="157" t="s">
        <v>92</v>
      </c>
      <c r="AI3" s="157" t="s">
        <v>93</v>
      </c>
      <c r="AJ3" s="159" t="s">
        <v>94</v>
      </c>
      <c r="AK3" s="157" t="s">
        <v>95</v>
      </c>
      <c r="AL3" s="246" t="s">
        <v>96</v>
      </c>
      <c r="AM3" s="246" t="s">
        <v>97</v>
      </c>
      <c r="AN3" s="246" t="s">
        <v>98</v>
      </c>
      <c r="AO3" s="159" t="s">
        <v>99</v>
      </c>
      <c r="AP3" s="246" t="s">
        <v>100</v>
      </c>
      <c r="AQ3" s="246" t="s">
        <v>101</v>
      </c>
      <c r="AR3" s="246" t="s">
        <v>102</v>
      </c>
      <c r="AS3" s="246" t="s">
        <v>103</v>
      </c>
      <c r="AT3" s="159" t="s">
        <v>104</v>
      </c>
      <c r="AU3" s="246" t="s">
        <v>105</v>
      </c>
    </row>
    <row r="4" spans="1:47" ht="15" customHeight="1" x14ac:dyDescent="0.25">
      <c r="F4" s="175"/>
      <c r="K4" s="175"/>
      <c r="P4" s="176"/>
      <c r="U4" s="176"/>
      <c r="Z4" s="176"/>
      <c r="AE4" s="176"/>
      <c r="AJ4" s="176"/>
      <c r="AO4" s="176"/>
      <c r="AT4" s="176"/>
    </row>
    <row r="5" spans="1:47" ht="15" customHeight="1" x14ac:dyDescent="0.25">
      <c r="A5" s="145" t="s">
        <v>128</v>
      </c>
      <c r="B5" s="214">
        <f>'P&amp;L'!B22</f>
        <v>13617</v>
      </c>
      <c r="C5" s="214">
        <f>'P&amp;L'!C22</f>
        <v>3929</v>
      </c>
      <c r="D5" s="214">
        <f>'P&amp;L'!D22</f>
        <v>5793</v>
      </c>
      <c r="E5" s="214">
        <f>'P&amp;L'!E22</f>
        <v>38938</v>
      </c>
      <c r="F5" s="215">
        <f>'P&amp;L'!F22</f>
        <v>62276</v>
      </c>
      <c r="G5" s="214">
        <f>'P&amp;L'!G22</f>
        <v>18527</v>
      </c>
      <c r="H5" s="214">
        <f>'P&amp;L'!H22</f>
        <v>13339</v>
      </c>
      <c r="I5" s="214">
        <f>'P&amp;L'!I22</f>
        <v>14724</v>
      </c>
      <c r="J5" s="214">
        <f>'P&amp;L'!J22</f>
        <v>40740</v>
      </c>
      <c r="K5" s="215">
        <f>'P&amp;L'!K22</f>
        <v>87329</v>
      </c>
      <c r="L5" s="214">
        <f>'P&amp;L'!L22</f>
        <v>14518</v>
      </c>
      <c r="M5" s="214">
        <f>'P&amp;L'!M22</f>
        <v>7505</v>
      </c>
      <c r="N5" s="214">
        <f>'P&amp;L'!N22</f>
        <v>22269</v>
      </c>
      <c r="O5" s="214">
        <f>'P&amp;L'!O22</f>
        <v>52368</v>
      </c>
      <c r="P5" s="216">
        <f>'P&amp;L'!P22</f>
        <v>96659</v>
      </c>
      <c r="Q5" s="214">
        <f>'P&amp;L'!Q22</f>
        <v>21090</v>
      </c>
      <c r="R5" s="214">
        <f>'P&amp;L'!R22</f>
        <v>14707</v>
      </c>
      <c r="S5" s="214">
        <f>'P&amp;L'!S22</f>
        <v>17948</v>
      </c>
      <c r="T5" s="214">
        <f>'P&amp;L'!T22</f>
        <v>42134</v>
      </c>
      <c r="U5" s="216">
        <f>'P&amp;L'!U22</f>
        <v>95879</v>
      </c>
      <c r="V5" s="214">
        <f>'P&amp;L'!V22</f>
        <v>21401</v>
      </c>
      <c r="W5" s="214">
        <f>'P&amp;L'!W22</f>
        <v>12537</v>
      </c>
      <c r="X5" s="214">
        <f>'P&amp;L'!X22</f>
        <v>20557</v>
      </c>
      <c r="Y5" s="214">
        <f>'P&amp;L'!Y22</f>
        <v>41474</v>
      </c>
      <c r="Z5" s="216">
        <f>'P&amp;L'!Z22</f>
        <v>95969</v>
      </c>
      <c r="AA5" s="214">
        <f>'P&amp;L'!AA22</f>
        <v>16428</v>
      </c>
      <c r="AB5" s="214">
        <f>'P&amp;L'!AB22</f>
        <v>6150</v>
      </c>
      <c r="AC5" s="214">
        <f>'P&amp;L'!AC22</f>
        <v>5293</v>
      </c>
      <c r="AD5" s="214">
        <f>'P&amp;L'!AD22</f>
        <v>46818</v>
      </c>
      <c r="AE5" s="216">
        <f>'P&amp;L'!AE22</f>
        <v>74689</v>
      </c>
      <c r="AF5" s="214">
        <f>'P&amp;L'!AF22</f>
        <v>23450</v>
      </c>
      <c r="AG5" s="214">
        <f>'P&amp;L'!AG22</f>
        <v>15029</v>
      </c>
      <c r="AH5" s="214">
        <f>'P&amp;L'!AH22</f>
        <v>24230</v>
      </c>
      <c r="AI5" s="214">
        <f>'P&amp;L'!AI22</f>
        <v>74938</v>
      </c>
      <c r="AJ5" s="216">
        <f>'P&amp;L'!AJ22</f>
        <v>137647</v>
      </c>
      <c r="AK5" s="214">
        <f>'P&amp;L'!AK22</f>
        <v>21278</v>
      </c>
      <c r="AL5" s="287">
        <f>'P&amp;L'!AL22</f>
        <v>-32973</v>
      </c>
      <c r="AM5" s="287">
        <f>'P&amp;L'!AM22</f>
        <v>6521</v>
      </c>
      <c r="AN5" s="287">
        <f>'P&amp;L'!AN22</f>
        <v>16049</v>
      </c>
      <c r="AO5" s="216">
        <f>'P&amp;L'!AO22</f>
        <v>10875</v>
      </c>
      <c r="AP5" s="287">
        <f>'P&amp;L'!AP22</f>
        <v>-12071</v>
      </c>
      <c r="AQ5" s="287">
        <f>'P&amp;L'!AQ22</f>
        <v>-1971</v>
      </c>
      <c r="AR5" s="287">
        <f>'P&amp;L'!AR22</f>
        <v>6635</v>
      </c>
      <c r="AS5" s="287">
        <f>'P&amp;L'!AS22</f>
        <v>62051</v>
      </c>
      <c r="AT5" s="216">
        <f>'P&amp;L'!AT22</f>
        <v>54644</v>
      </c>
      <c r="AU5" s="287">
        <f>'P&amp;L'!AU22</f>
        <v>8566</v>
      </c>
    </row>
    <row r="6" spans="1:47" ht="15" customHeight="1" x14ac:dyDescent="0.25">
      <c r="A6" s="142" t="s">
        <v>195</v>
      </c>
      <c r="F6" s="175"/>
      <c r="K6" s="175"/>
      <c r="P6" s="176"/>
      <c r="U6" s="176"/>
      <c r="Z6" s="176"/>
      <c r="AE6" s="176"/>
      <c r="AJ6" s="176"/>
      <c r="AO6" s="176"/>
      <c r="AT6" s="176"/>
    </row>
    <row r="7" spans="1:47" ht="15" customHeight="1" x14ac:dyDescent="0.25">
      <c r="A7" s="142" t="s">
        <v>198</v>
      </c>
      <c r="B7" s="209">
        <f>'Reconciliation Adj EBITDA'!B8</f>
        <v>6317</v>
      </c>
      <c r="C7" s="209">
        <f>'Reconciliation Adj EBITDA'!C8</f>
        <v>5325</v>
      </c>
      <c r="D7" s="209">
        <f>'Reconciliation Adj EBITDA'!D8</f>
        <v>4600</v>
      </c>
      <c r="E7" s="209">
        <f>'Reconciliation Adj EBITDA'!E8</f>
        <v>7748</v>
      </c>
      <c r="F7" s="217">
        <f>'Reconciliation Adj EBITDA'!F8</f>
        <v>23989</v>
      </c>
      <c r="G7" s="209">
        <f>'Reconciliation Adj EBITDA'!G8</f>
        <v>8370</v>
      </c>
      <c r="H7" s="209">
        <f>'Reconciliation Adj EBITDA'!H8</f>
        <v>7695</v>
      </c>
      <c r="I7" s="209">
        <f>'Reconciliation Adj EBITDA'!I8</f>
        <v>13965</v>
      </c>
      <c r="J7" s="209">
        <f>'Reconciliation Adj EBITDA'!J8</f>
        <v>13229</v>
      </c>
      <c r="K7" s="217">
        <f>'Reconciliation Adj EBITDA'!K8</f>
        <v>43259</v>
      </c>
      <c r="L7" s="209">
        <f>'Reconciliation Adj EBITDA'!L8</f>
        <v>14940</v>
      </c>
      <c r="M7" s="209">
        <f>'Reconciliation Adj EBITDA'!M8</f>
        <v>14918</v>
      </c>
      <c r="N7" s="209">
        <f>'Reconciliation Adj EBITDA'!N8</f>
        <v>22028</v>
      </c>
      <c r="O7" s="209">
        <f>'Reconciliation Adj EBITDA'!O8</f>
        <v>20464</v>
      </c>
      <c r="P7" s="210">
        <f>'Reconciliation Adj EBITDA'!P8</f>
        <v>72351</v>
      </c>
      <c r="Q7" s="209">
        <f>'Reconciliation Adj EBITDA'!Q8</f>
        <v>19303</v>
      </c>
      <c r="R7" s="209">
        <f>'Reconciliation Adj EBITDA'!R8</f>
        <v>20245</v>
      </c>
      <c r="S7" s="209">
        <f>'Reconciliation Adj EBITDA'!S8</f>
        <v>17261</v>
      </c>
      <c r="T7" s="209">
        <f>'Reconciliation Adj EBITDA'!T8</f>
        <v>10267</v>
      </c>
      <c r="U7" s="210">
        <f>'Reconciliation Adj EBITDA'!U8</f>
        <v>67076</v>
      </c>
      <c r="V7" s="209">
        <f>'Reconciliation Adj EBITDA'!V8</f>
        <v>13882</v>
      </c>
      <c r="W7" s="209">
        <f>'Reconciliation Adj EBITDA'!W8</f>
        <v>14391</v>
      </c>
      <c r="X7" s="209">
        <f>'Reconciliation Adj EBITDA'!X8</f>
        <v>11770</v>
      </c>
      <c r="Y7" s="209">
        <f>'Reconciliation Adj EBITDA'!Y8</f>
        <v>9089</v>
      </c>
      <c r="Z7" s="210">
        <f>'Reconciliation Adj EBITDA'!Z8</f>
        <v>49132</v>
      </c>
      <c r="AA7" s="209">
        <f>'Reconciliation Adj EBITDA'!AA8</f>
        <v>8503</v>
      </c>
      <c r="AB7" s="209">
        <f>'Reconciliation Adj EBITDA'!AB8</f>
        <v>7159</v>
      </c>
      <c r="AC7" s="209">
        <f>'Reconciliation Adj EBITDA'!AC8</f>
        <v>6803</v>
      </c>
      <c r="AD7" s="209">
        <f>'Reconciliation Adj EBITDA'!AD8</f>
        <v>8960</v>
      </c>
      <c r="AE7" s="210">
        <f>'Reconciliation Adj EBITDA'!AE8</f>
        <v>31425</v>
      </c>
      <c r="AF7" s="209">
        <f>'Reconciliation Adj EBITDA'!AF8</f>
        <v>7882</v>
      </c>
      <c r="AG7" s="209">
        <f>'Reconciliation Adj EBITDA'!AG8</f>
        <v>11669</v>
      </c>
      <c r="AH7" s="209">
        <f>'Reconciliation Adj EBITDA'!AH8</f>
        <v>13290</v>
      </c>
      <c r="AI7" s="209">
        <f>'Reconciliation Adj EBITDA'!AI8</f>
        <v>12114</v>
      </c>
      <c r="AJ7" s="210">
        <f>'Reconciliation Adj EBITDA'!AJ8</f>
        <v>44955</v>
      </c>
      <c r="AK7" s="209">
        <f>'Reconciliation Adj EBITDA'!AK8</f>
        <v>9490</v>
      </c>
      <c r="AL7" s="288">
        <f>'Reconciliation Adj EBITDA'!AL8</f>
        <v>12020</v>
      </c>
      <c r="AM7" s="288">
        <f>'Reconciliation Adj EBITDA'!AM8</f>
        <v>21084</v>
      </c>
      <c r="AN7" s="288">
        <f>'Reconciliation Adj EBITDA'!AN8</f>
        <v>22441</v>
      </c>
      <c r="AO7" s="210">
        <f>'Reconciliation Adj EBITDA'!AO8</f>
        <v>65035</v>
      </c>
      <c r="AP7" s="288">
        <f>'Reconciliation Adj EBITDA'!AP8</f>
        <v>26065</v>
      </c>
      <c r="AQ7" s="288">
        <f>'Reconciliation Adj EBITDA'!AQ8</f>
        <v>27831</v>
      </c>
      <c r="AR7" s="288">
        <f>'Reconciliation Adj EBITDA'!AR8</f>
        <v>24323</v>
      </c>
      <c r="AS7" s="288">
        <f>'Reconciliation Adj EBITDA'!AS8</f>
        <v>21003</v>
      </c>
      <c r="AT7" s="210">
        <f>'Reconciliation Adj EBITDA'!AT8</f>
        <v>99222</v>
      </c>
      <c r="AU7" s="288">
        <f>'Reconciliation Adj EBITDA'!AU8</f>
        <v>27292</v>
      </c>
    </row>
    <row r="8" spans="1:47" ht="31.5" customHeight="1" x14ac:dyDescent="0.25">
      <c r="A8" s="142" t="s">
        <v>233</v>
      </c>
      <c r="B8" s="166">
        <v>920</v>
      </c>
      <c r="C8" s="166">
        <v>1674</v>
      </c>
      <c r="D8" s="166">
        <v>1200</v>
      </c>
      <c r="E8" s="166">
        <v>2548</v>
      </c>
      <c r="F8" s="167">
        <v>6342</v>
      </c>
      <c r="G8" s="166">
        <v>1377</v>
      </c>
      <c r="H8" s="166">
        <v>825</v>
      </c>
      <c r="I8" s="166">
        <v>943</v>
      </c>
      <c r="J8" s="166">
        <v>986</v>
      </c>
      <c r="K8" s="167">
        <v>4131</v>
      </c>
      <c r="L8" s="166">
        <v>4674</v>
      </c>
      <c r="M8" s="166">
        <v>4777</v>
      </c>
      <c r="N8" s="166">
        <v>4428</v>
      </c>
      <c r="O8" s="166">
        <v>3852</v>
      </c>
      <c r="P8" s="168">
        <v>17731</v>
      </c>
      <c r="Q8" s="166">
        <v>3457</v>
      </c>
      <c r="R8" s="166">
        <v>3448</v>
      </c>
      <c r="S8" s="166">
        <v>3920</v>
      </c>
      <c r="T8" s="166">
        <v>4996</v>
      </c>
      <c r="U8" s="168">
        <v>15821</v>
      </c>
      <c r="V8" s="166">
        <v>5472</v>
      </c>
      <c r="W8" s="166">
        <v>5465</v>
      </c>
      <c r="X8" s="166">
        <v>5456</v>
      </c>
      <c r="Y8" s="166">
        <v>11513</v>
      </c>
      <c r="Z8" s="168">
        <v>27906</v>
      </c>
      <c r="AA8" s="166">
        <v>6848</v>
      </c>
      <c r="AB8" s="166">
        <v>2847</v>
      </c>
      <c r="AC8" s="166">
        <v>2899</v>
      </c>
      <c r="AD8" s="166">
        <v>2926</v>
      </c>
      <c r="AE8" s="168">
        <v>15520</v>
      </c>
      <c r="AF8" s="166">
        <v>2935</v>
      </c>
      <c r="AG8" s="166">
        <v>2936</v>
      </c>
      <c r="AH8" s="166">
        <v>3303</v>
      </c>
      <c r="AI8" s="166">
        <v>3755</v>
      </c>
      <c r="AJ8" s="168">
        <v>12929</v>
      </c>
      <c r="AK8" s="166">
        <v>3708</v>
      </c>
      <c r="AL8" s="199">
        <v>3614</v>
      </c>
      <c r="AM8" s="199">
        <v>3531</v>
      </c>
      <c r="AN8" s="199">
        <v>12423</v>
      </c>
      <c r="AO8" s="168">
        <v>23276</v>
      </c>
      <c r="AP8" s="199">
        <v>8533</v>
      </c>
      <c r="AQ8" s="199">
        <v>8812</v>
      </c>
      <c r="AR8" s="199">
        <v>8692</v>
      </c>
      <c r="AS8" s="199">
        <v>8943</v>
      </c>
      <c r="AT8" s="168">
        <v>34980</v>
      </c>
      <c r="AU8" s="199">
        <v>8679</v>
      </c>
    </row>
    <row r="9" spans="1:47" ht="15" customHeight="1" x14ac:dyDescent="0.25">
      <c r="A9" s="142" t="s">
        <v>205</v>
      </c>
      <c r="B9" s="209">
        <f>'Reconciliation Adj EBITDA'!B21</f>
        <v>0</v>
      </c>
      <c r="C9" s="209">
        <f>'Reconciliation Adj EBITDA'!C21</f>
        <v>0</v>
      </c>
      <c r="D9" s="209">
        <f>'Reconciliation Adj EBITDA'!D21</f>
        <v>0</v>
      </c>
      <c r="E9" s="209">
        <f>'Reconciliation Adj EBITDA'!E21</f>
        <v>0</v>
      </c>
      <c r="F9" s="217">
        <f>'Reconciliation Adj EBITDA'!F21</f>
        <v>0</v>
      </c>
      <c r="G9" s="209">
        <f>'Reconciliation Adj EBITDA'!G21</f>
        <v>0</v>
      </c>
      <c r="H9" s="209">
        <f>'Reconciliation Adj EBITDA'!H21</f>
        <v>148</v>
      </c>
      <c r="I9" s="209">
        <f>'Reconciliation Adj EBITDA'!I21</f>
        <v>1793</v>
      </c>
      <c r="J9" s="209">
        <f>'Reconciliation Adj EBITDA'!J21</f>
        <v>980</v>
      </c>
      <c r="K9" s="217">
        <f>'Reconciliation Adj EBITDA'!K21</f>
        <v>2921</v>
      </c>
      <c r="L9" s="209">
        <f>'Reconciliation Adj EBITDA'!L21</f>
        <v>6</v>
      </c>
      <c r="M9" s="209">
        <f>'Reconciliation Adj EBITDA'!M21</f>
        <v>0</v>
      </c>
      <c r="N9" s="209">
        <f>'Reconciliation Adj EBITDA'!N21</f>
        <v>0</v>
      </c>
      <c r="O9" s="209">
        <f>'Reconciliation Adj EBITDA'!O21</f>
        <v>0</v>
      </c>
      <c r="P9" s="210">
        <f>'Reconciliation Adj EBITDA'!P21</f>
        <v>6</v>
      </c>
      <c r="Q9" s="209">
        <f>'Reconciliation Adj EBITDA'!Q21</f>
        <v>0</v>
      </c>
      <c r="R9" s="209">
        <f>'Reconciliation Adj EBITDA'!R21</f>
        <v>0</v>
      </c>
      <c r="S9" s="209">
        <f>'Reconciliation Adj EBITDA'!S21</f>
        <v>516</v>
      </c>
      <c r="T9" s="209">
        <f>'Reconciliation Adj EBITDA'!T21</f>
        <v>1222</v>
      </c>
      <c r="U9" s="210">
        <f>'Reconciliation Adj EBITDA'!U21</f>
        <v>1738</v>
      </c>
      <c r="V9" s="209">
        <f>'Reconciliation Adj EBITDA'!V21</f>
        <v>0</v>
      </c>
      <c r="W9" s="209">
        <f>'Reconciliation Adj EBITDA'!W21</f>
        <v>0</v>
      </c>
      <c r="X9" s="209">
        <f>'Reconciliation Adj EBITDA'!X21</f>
        <v>0</v>
      </c>
      <c r="Y9" s="209">
        <f>'Reconciliation Adj EBITDA'!Y21</f>
        <v>0</v>
      </c>
      <c r="Z9" s="210">
        <f>'Reconciliation Adj EBITDA'!Z21</f>
        <v>0</v>
      </c>
      <c r="AA9" s="209">
        <f>'Reconciliation Adj EBITDA'!AA21</f>
        <v>0</v>
      </c>
      <c r="AB9" s="209">
        <f>'Reconciliation Adj EBITDA'!AB21</f>
        <v>0</v>
      </c>
      <c r="AC9" s="209">
        <f>'Reconciliation Adj EBITDA'!AC21</f>
        <v>112</v>
      </c>
      <c r="AD9" s="209">
        <f>'Reconciliation Adj EBITDA'!AD21</f>
        <v>174</v>
      </c>
      <c r="AE9" s="210">
        <f>'Reconciliation Adj EBITDA'!AE21</f>
        <v>286</v>
      </c>
      <c r="AF9" s="209">
        <f>'Reconciliation Adj EBITDA'!AF21</f>
        <v>0</v>
      </c>
      <c r="AG9" s="209">
        <f>'Reconciliation Adj EBITDA'!AG21</f>
        <v>3047</v>
      </c>
      <c r="AH9" s="209">
        <f>'Reconciliation Adj EBITDA'!AH21</f>
        <v>2091</v>
      </c>
      <c r="AI9" s="209">
        <f>'Reconciliation Adj EBITDA'!AI21</f>
        <v>6118</v>
      </c>
      <c r="AJ9" s="210">
        <f>'Reconciliation Adj EBITDA'!AJ21</f>
        <v>11256</v>
      </c>
      <c r="AK9" s="209">
        <f>'Reconciliation Adj EBITDA'!AK21</f>
        <v>2544</v>
      </c>
      <c r="AL9" s="288">
        <f>'Reconciliation Adj EBITDA'!AL21</f>
        <v>1977</v>
      </c>
      <c r="AM9" s="288">
        <f>'Reconciliation Adj EBITDA'!AM21</f>
        <v>6970</v>
      </c>
      <c r="AN9" s="288">
        <f>'Reconciliation Adj EBITDA'!AN21</f>
        <v>1093</v>
      </c>
      <c r="AO9" s="210">
        <f>'Reconciliation Adj EBITDA'!AO21</f>
        <v>12584</v>
      </c>
      <c r="AP9" s="288">
        <f>'Reconciliation Adj EBITDA'!AP21</f>
        <v>832</v>
      </c>
      <c r="AQ9" s="288">
        <f>'Reconciliation Adj EBITDA'!AQ21</f>
        <v>362</v>
      </c>
      <c r="AR9" s="288">
        <f>'Reconciliation Adj EBITDA'!AR21</f>
        <v>86</v>
      </c>
      <c r="AS9" s="288">
        <f>'Reconciliation Adj EBITDA'!AS21</f>
        <v>613</v>
      </c>
      <c r="AT9" s="210">
        <f>'Reconciliation Adj EBITDA'!AT21</f>
        <v>1894</v>
      </c>
      <c r="AU9" s="288">
        <f>'Reconciliation Adj EBITDA'!AU21</f>
        <v>0</v>
      </c>
    </row>
    <row r="10" spans="1:47" ht="15" customHeight="1" x14ac:dyDescent="0.25">
      <c r="A10" s="142" t="s">
        <v>207</v>
      </c>
      <c r="B10" s="209"/>
      <c r="C10" s="209"/>
      <c r="D10" s="209"/>
      <c r="E10" s="209"/>
      <c r="F10" s="217"/>
      <c r="G10" s="209"/>
      <c r="H10" s="209"/>
      <c r="I10" s="209"/>
      <c r="J10" s="209"/>
      <c r="K10" s="217"/>
      <c r="L10" s="209"/>
      <c r="M10" s="209"/>
      <c r="N10" s="209"/>
      <c r="O10" s="209"/>
      <c r="P10" s="210"/>
      <c r="Q10" s="209"/>
      <c r="R10" s="209"/>
      <c r="S10" s="209"/>
      <c r="T10" s="209"/>
      <c r="U10" s="210"/>
      <c r="V10" s="209"/>
      <c r="W10" s="209">
        <v>0</v>
      </c>
      <c r="X10" s="209">
        <v>0</v>
      </c>
      <c r="Y10" s="209">
        <v>0</v>
      </c>
      <c r="Z10" s="210">
        <v>0</v>
      </c>
      <c r="AA10" s="209">
        <v>0</v>
      </c>
      <c r="AB10" s="209">
        <v>0</v>
      </c>
      <c r="AC10" s="209">
        <v>0</v>
      </c>
      <c r="AD10" s="209">
        <v>0</v>
      </c>
      <c r="AE10" s="210">
        <v>0</v>
      </c>
      <c r="AF10" s="209">
        <v>0</v>
      </c>
      <c r="AG10" s="209">
        <v>0</v>
      </c>
      <c r="AH10" s="209">
        <v>0</v>
      </c>
      <c r="AI10" s="209">
        <v>0</v>
      </c>
      <c r="AJ10" s="210">
        <v>0</v>
      </c>
      <c r="AK10" s="209">
        <v>0</v>
      </c>
      <c r="AL10" s="288">
        <v>65684</v>
      </c>
      <c r="AM10" s="199">
        <v>-1764</v>
      </c>
      <c r="AN10" s="199">
        <v>-699</v>
      </c>
      <c r="AO10" s="210">
        <v>63221</v>
      </c>
      <c r="AP10" s="288">
        <v>0</v>
      </c>
      <c r="AQ10" s="199">
        <v>-21616</v>
      </c>
      <c r="AR10" s="199">
        <v>-51</v>
      </c>
      <c r="AS10" s="199">
        <v>35</v>
      </c>
      <c r="AT10" s="210">
        <v>-21632</v>
      </c>
      <c r="AU10" s="288">
        <v>0</v>
      </c>
    </row>
    <row r="11" spans="1:47" ht="15" customHeight="1" x14ac:dyDescent="0.25">
      <c r="A11" s="142" t="s">
        <v>206</v>
      </c>
      <c r="B11" s="209">
        <f>'Reconciliation Adj EBITDA'!B24</f>
        <v>109</v>
      </c>
      <c r="C11" s="209">
        <f>'Reconciliation Adj EBITDA'!C24</f>
        <v>115</v>
      </c>
      <c r="D11" s="209">
        <f>'Reconciliation Adj EBITDA'!D24</f>
        <v>54</v>
      </c>
      <c r="E11" s="209">
        <f>'Reconciliation Adj EBITDA'!E24</f>
        <v>-2172</v>
      </c>
      <c r="F11" s="217">
        <f>'Reconciliation Adj EBITDA'!F24</f>
        <v>-1894</v>
      </c>
      <c r="G11" s="209">
        <f>'Reconciliation Adj EBITDA'!G24</f>
        <v>40</v>
      </c>
      <c r="H11" s="209">
        <f>'Reconciliation Adj EBITDA'!H24</f>
        <v>44</v>
      </c>
      <c r="I11" s="209">
        <f>'Reconciliation Adj EBITDA'!I24</f>
        <v>3</v>
      </c>
      <c r="J11" s="209">
        <f>'Reconciliation Adj EBITDA'!J24</f>
        <v>-3</v>
      </c>
      <c r="K11" s="217">
        <f>'Reconciliation Adj EBITDA'!K24</f>
        <v>85</v>
      </c>
      <c r="L11" s="209">
        <f>'Reconciliation Adj EBITDA'!L24</f>
        <v>0</v>
      </c>
      <c r="M11" s="209">
        <f>'Reconciliation Adj EBITDA'!M24</f>
        <v>0</v>
      </c>
      <c r="N11" s="209">
        <f>'Reconciliation Adj EBITDA'!N24</f>
        <v>0</v>
      </c>
      <c r="O11" s="209">
        <f>'Reconciliation Adj EBITDA'!O24</f>
        <v>0</v>
      </c>
      <c r="P11" s="210">
        <f>'Reconciliation Adj EBITDA'!P24</f>
        <v>0</v>
      </c>
      <c r="Q11" s="209">
        <f>'Reconciliation Adj EBITDA'!Q24</f>
        <v>0</v>
      </c>
      <c r="R11" s="209">
        <f>'Reconciliation Adj EBITDA'!R24</f>
        <v>0</v>
      </c>
      <c r="S11" s="209">
        <f>'Reconciliation Adj EBITDA'!S24</f>
        <v>0</v>
      </c>
      <c r="T11" s="209">
        <f>'Reconciliation Adj EBITDA'!T24</f>
        <v>0</v>
      </c>
      <c r="U11" s="210">
        <f>'Reconciliation Adj EBITDA'!U24</f>
        <v>0</v>
      </c>
      <c r="V11" s="209">
        <f>'Reconciliation Adj EBITDA'!V24</f>
        <v>0</v>
      </c>
      <c r="W11" s="209">
        <f>'Reconciliation Adj EBITDA'!W24</f>
        <v>0</v>
      </c>
      <c r="X11" s="209">
        <f>'Reconciliation Adj EBITDA'!X24</f>
        <v>0</v>
      </c>
      <c r="Y11" s="209">
        <f>'Reconciliation Adj EBITDA'!Y24</f>
        <v>0</v>
      </c>
      <c r="Z11" s="210">
        <f>'Reconciliation Adj EBITDA'!Z24</f>
        <v>0</v>
      </c>
      <c r="AA11" s="209">
        <f>'Reconciliation Adj EBITDA'!AA24</f>
        <v>0</v>
      </c>
      <c r="AB11" s="209">
        <f>'Reconciliation Adj EBITDA'!AB24</f>
        <v>0</v>
      </c>
      <c r="AC11" s="209">
        <f>'Reconciliation Adj EBITDA'!AC24</f>
        <v>0</v>
      </c>
      <c r="AD11" s="209">
        <f>'Reconciliation Adj EBITDA'!AD24</f>
        <v>0</v>
      </c>
      <c r="AE11" s="210">
        <f>'Reconciliation Adj EBITDA'!AE24</f>
        <v>0</v>
      </c>
      <c r="AF11" s="209">
        <f>'Reconciliation Adj EBITDA'!AF24</f>
        <v>0</v>
      </c>
      <c r="AG11" s="209">
        <f>'Reconciliation Adj EBITDA'!AG24</f>
        <v>0</v>
      </c>
      <c r="AH11" s="209">
        <f>'Reconciliation Adj EBITDA'!AH24</f>
        <v>0</v>
      </c>
      <c r="AI11" s="209">
        <f>'Reconciliation Adj EBITDA'!AI24</f>
        <v>0</v>
      </c>
      <c r="AJ11" s="210">
        <f>'Reconciliation Adj EBITDA'!AJ24</f>
        <v>0</v>
      </c>
      <c r="AK11" s="209">
        <f>'Reconciliation Adj EBITDA'!AK24</f>
        <v>0</v>
      </c>
      <c r="AL11" s="288">
        <f>'Reconciliation Adj EBITDA'!AL24</f>
        <v>0</v>
      </c>
      <c r="AM11" s="288">
        <f>'Reconciliation Adj EBITDA'!AM24</f>
        <v>0</v>
      </c>
      <c r="AN11" s="288">
        <f>'Reconciliation Adj EBITDA'!AN24</f>
        <v>0</v>
      </c>
      <c r="AO11" s="210">
        <f>'Reconciliation Adj EBITDA'!AO24</f>
        <v>0</v>
      </c>
      <c r="AP11" s="288">
        <f>'Reconciliation Adj EBITDA'!AP24</f>
        <v>0</v>
      </c>
      <c r="AQ11" s="288">
        <f>'Reconciliation Adj EBITDA'!AQ24</f>
        <v>0</v>
      </c>
      <c r="AR11" s="288">
        <f>'Reconciliation Adj EBITDA'!AR24</f>
        <v>0</v>
      </c>
      <c r="AS11" s="288">
        <f>'Reconciliation Adj EBITDA'!AS24</f>
        <v>0</v>
      </c>
      <c r="AT11" s="210">
        <f>'Reconciliation Adj EBITDA'!AT24</f>
        <v>0</v>
      </c>
      <c r="AU11" s="288">
        <f>'Reconciliation Adj EBITDA'!AU24</f>
        <v>0</v>
      </c>
    </row>
    <row r="12" spans="1:47" ht="30" customHeight="1" x14ac:dyDescent="0.25">
      <c r="A12" s="142" t="s">
        <v>208</v>
      </c>
      <c r="B12" s="209">
        <f>'Reconciliation Adj EBITDA'!B29</f>
        <v>0</v>
      </c>
      <c r="C12" s="209">
        <f>'Reconciliation Adj EBITDA'!C29</f>
        <v>0</v>
      </c>
      <c r="D12" s="209">
        <f>'Reconciliation Adj EBITDA'!D29</f>
        <v>0</v>
      </c>
      <c r="E12" s="209">
        <f>'Reconciliation Adj EBITDA'!E29</f>
        <v>0</v>
      </c>
      <c r="F12" s="217">
        <f>'Reconciliation Adj EBITDA'!F29</f>
        <v>0</v>
      </c>
      <c r="G12" s="209">
        <f>'Reconciliation Adj EBITDA'!G29</f>
        <v>0</v>
      </c>
      <c r="H12" s="209">
        <f>'Reconciliation Adj EBITDA'!H29</f>
        <v>0</v>
      </c>
      <c r="I12" s="209">
        <f>'Reconciliation Adj EBITDA'!I29</f>
        <v>0</v>
      </c>
      <c r="J12" s="209">
        <f>'Reconciliation Adj EBITDA'!J29</f>
        <v>0</v>
      </c>
      <c r="K12" s="217">
        <f>'Reconciliation Adj EBITDA'!K29</f>
        <v>0</v>
      </c>
      <c r="L12" s="209">
        <f>'Reconciliation Adj EBITDA'!L29</f>
        <v>0</v>
      </c>
      <c r="M12" s="209">
        <f>'Reconciliation Adj EBITDA'!M29</f>
        <v>3299</v>
      </c>
      <c r="N12" s="209">
        <f>'Reconciliation Adj EBITDA'!N29</f>
        <v>0</v>
      </c>
      <c r="O12" s="209">
        <f>'Reconciliation Adj EBITDA'!O29</f>
        <v>4057</v>
      </c>
      <c r="P12" s="210">
        <f>'Reconciliation Adj EBITDA'!P29</f>
        <v>7356</v>
      </c>
      <c r="Q12" s="209">
        <f>'Reconciliation Adj EBITDA'!Q29</f>
        <v>-252</v>
      </c>
      <c r="R12" s="209">
        <f>'Reconciliation Adj EBITDA'!R29</f>
        <v>199</v>
      </c>
      <c r="S12" s="209">
        <f>'Reconciliation Adj EBITDA'!S29</f>
        <v>0</v>
      </c>
      <c r="T12" s="209">
        <f>'Reconciliation Adj EBITDA'!T29</f>
        <v>0</v>
      </c>
      <c r="U12" s="210">
        <f>'Reconciliation Adj EBITDA'!U29</f>
        <v>-53</v>
      </c>
      <c r="V12" s="209">
        <f>'Reconciliation Adj EBITDA'!V29</f>
        <v>1890</v>
      </c>
      <c r="W12" s="209">
        <f>'Reconciliation Adj EBITDA'!W29</f>
        <v>728</v>
      </c>
      <c r="X12" s="209">
        <f>'Reconciliation Adj EBITDA'!X29</f>
        <v>303</v>
      </c>
      <c r="Y12" s="209">
        <f>'Reconciliation Adj EBITDA'!Y29</f>
        <v>10661</v>
      </c>
      <c r="Z12" s="210">
        <f>'Reconciliation Adj EBITDA'!Z29</f>
        <v>13582</v>
      </c>
      <c r="AA12" s="209">
        <f>'Reconciliation Adj EBITDA'!AA29</f>
        <v>2209</v>
      </c>
      <c r="AB12" s="209">
        <f>'Reconciliation Adj EBITDA'!AB29</f>
        <v>1216</v>
      </c>
      <c r="AC12" s="209">
        <f>'Reconciliation Adj EBITDA'!AC29</f>
        <v>12181</v>
      </c>
      <c r="AD12" s="209">
        <f>'Reconciliation Adj EBITDA'!AD29</f>
        <v>4383</v>
      </c>
      <c r="AE12" s="210">
        <f>'Reconciliation Adj EBITDA'!AE29</f>
        <v>19989</v>
      </c>
      <c r="AF12" s="209">
        <f>'Reconciliation Adj EBITDA'!AF29</f>
        <v>11636</v>
      </c>
      <c r="AG12" s="209">
        <f>'Reconciliation Adj EBITDA'!AG29</f>
        <v>9996</v>
      </c>
      <c r="AH12" s="209">
        <f>'Reconciliation Adj EBITDA'!AH29</f>
        <v>-1767</v>
      </c>
      <c r="AI12" s="209">
        <f>'Reconciliation Adj EBITDA'!AI29</f>
        <v>1833</v>
      </c>
      <c r="AJ12" s="210">
        <f>'Reconciliation Adj EBITDA'!AJ29</f>
        <v>21698</v>
      </c>
      <c r="AK12" s="209">
        <f>'Reconciliation Adj EBITDA'!AK29</f>
        <v>710</v>
      </c>
      <c r="AL12" s="288">
        <f>'Reconciliation Adj EBITDA'!AL29</f>
        <v>5925</v>
      </c>
      <c r="AM12" s="288">
        <f>'Reconciliation Adj EBITDA'!AM29</f>
        <v>-81</v>
      </c>
      <c r="AN12" s="288">
        <f>'Reconciliation Adj EBITDA'!AN29</f>
        <v>4123</v>
      </c>
      <c r="AO12" s="210">
        <f>'Reconciliation Adj EBITDA'!AO29</f>
        <v>10677</v>
      </c>
      <c r="AP12" s="288">
        <f>'Reconciliation Adj EBITDA'!AP29</f>
        <v>9602</v>
      </c>
      <c r="AQ12" s="288">
        <f>'Reconciliation Adj EBITDA'!AQ29</f>
        <v>21563</v>
      </c>
      <c r="AR12" s="288">
        <f>'Reconciliation Adj EBITDA'!AR29</f>
        <v>7833</v>
      </c>
      <c r="AS12" s="288">
        <f>'Reconciliation Adj EBITDA'!AS29</f>
        <v>5729</v>
      </c>
      <c r="AT12" s="210">
        <f>'Reconciliation Adj EBITDA'!AT29</f>
        <v>44727</v>
      </c>
      <c r="AU12" s="288">
        <f>'Reconciliation Adj EBITDA'!AU29</f>
        <v>7943</v>
      </c>
    </row>
    <row r="13" spans="1:47" ht="15" customHeight="1" x14ac:dyDescent="0.25">
      <c r="A13" s="142" t="s">
        <v>234</v>
      </c>
      <c r="B13" s="166">
        <v>-130</v>
      </c>
      <c r="C13" s="166">
        <v>-426</v>
      </c>
      <c r="D13" s="166">
        <v>-274</v>
      </c>
      <c r="E13" s="166">
        <v>-47</v>
      </c>
      <c r="F13" s="167">
        <v>-878</v>
      </c>
      <c r="G13" s="166">
        <v>-228</v>
      </c>
      <c r="H13" s="166">
        <v>-159</v>
      </c>
      <c r="I13" s="166">
        <v>-129</v>
      </c>
      <c r="J13" s="166">
        <v>-432</v>
      </c>
      <c r="K13" s="167">
        <v>-948</v>
      </c>
      <c r="L13" s="166">
        <v>-3317</v>
      </c>
      <c r="M13" s="166">
        <f>-4254-1</f>
        <v>-4255</v>
      </c>
      <c r="N13" s="166">
        <v>-4309</v>
      </c>
      <c r="O13" s="166">
        <v>1088</v>
      </c>
      <c r="P13" s="168">
        <v>-10792</v>
      </c>
      <c r="Q13" s="166">
        <v>-3079</v>
      </c>
      <c r="R13" s="166">
        <v>-3117</v>
      </c>
      <c r="S13" s="166">
        <v>-3309</v>
      </c>
      <c r="T13" s="166">
        <v>-2218</v>
      </c>
      <c r="U13" s="168">
        <v>-11723</v>
      </c>
      <c r="V13" s="166">
        <v>-2940</v>
      </c>
      <c r="W13" s="166">
        <v>-2391</v>
      </c>
      <c r="X13" s="166">
        <v>-2640</v>
      </c>
      <c r="Y13" s="166">
        <v>-3219</v>
      </c>
      <c r="Z13" s="168">
        <v>-11190</v>
      </c>
      <c r="AA13" s="166">
        <v>-1960</v>
      </c>
      <c r="AB13" s="166">
        <v>-665</v>
      </c>
      <c r="AC13" s="166">
        <v>-2986</v>
      </c>
      <c r="AD13" s="166">
        <v>-2127</v>
      </c>
      <c r="AE13" s="168">
        <v>-7738</v>
      </c>
      <c r="AF13" s="166">
        <v>-2751</v>
      </c>
      <c r="AG13" s="166">
        <v>-1821</v>
      </c>
      <c r="AH13" s="166">
        <v>-114</v>
      </c>
      <c r="AI13" s="166">
        <v>-6557</v>
      </c>
      <c r="AJ13" s="168">
        <v>-11243</v>
      </c>
      <c r="AK13" s="166">
        <v>-3956</v>
      </c>
      <c r="AL13" s="199">
        <v>-1986</v>
      </c>
      <c r="AM13" s="199">
        <v>-3036</v>
      </c>
      <c r="AN13" s="199">
        <v>-3535</v>
      </c>
      <c r="AO13" s="168">
        <v>-12513</v>
      </c>
      <c r="AP13" s="199">
        <v>-4949</v>
      </c>
      <c r="AQ13" s="199">
        <v>-5333</v>
      </c>
      <c r="AR13" s="199">
        <v>-4785</v>
      </c>
      <c r="AS13" s="199">
        <v>-7469</v>
      </c>
      <c r="AT13" s="168">
        <v>-22536</v>
      </c>
      <c r="AU13" s="199">
        <v>-4988</v>
      </c>
    </row>
    <row r="14" spans="1:47" ht="15" customHeight="1" x14ac:dyDescent="0.25">
      <c r="A14" s="142" t="s">
        <v>209</v>
      </c>
      <c r="B14" s="211">
        <f t="shared" ref="B14:P14" si="0">SUM(B7:B13)</f>
        <v>7216</v>
      </c>
      <c r="C14" s="211">
        <f t="shared" si="0"/>
        <v>6688</v>
      </c>
      <c r="D14" s="211">
        <f t="shared" si="0"/>
        <v>5580</v>
      </c>
      <c r="E14" s="211">
        <f t="shared" si="0"/>
        <v>8077</v>
      </c>
      <c r="F14" s="218">
        <f t="shared" si="0"/>
        <v>27559</v>
      </c>
      <c r="G14" s="211">
        <f t="shared" si="0"/>
        <v>9559</v>
      </c>
      <c r="H14" s="211">
        <f t="shared" si="0"/>
        <v>8553</v>
      </c>
      <c r="I14" s="211">
        <f t="shared" si="0"/>
        <v>16575</v>
      </c>
      <c r="J14" s="211">
        <f t="shared" si="0"/>
        <v>14760</v>
      </c>
      <c r="K14" s="193">
        <f t="shared" si="0"/>
        <v>49448</v>
      </c>
      <c r="L14" s="211">
        <f t="shared" si="0"/>
        <v>16303</v>
      </c>
      <c r="M14" s="211">
        <f t="shared" si="0"/>
        <v>18739</v>
      </c>
      <c r="N14" s="211">
        <f t="shared" si="0"/>
        <v>22147</v>
      </c>
      <c r="O14" s="192">
        <f t="shared" si="0"/>
        <v>29461</v>
      </c>
      <c r="P14" s="194">
        <f t="shared" si="0"/>
        <v>86652</v>
      </c>
      <c r="Q14" s="192">
        <f>SUM(Q7:Q13)</f>
        <v>19429</v>
      </c>
      <c r="R14" s="192">
        <f>SUM(R7:R13)</f>
        <v>20775</v>
      </c>
      <c r="S14" s="192">
        <f>SUM(S7:S13)</f>
        <v>18388</v>
      </c>
      <c r="T14" s="192">
        <f t="shared" ref="T14:U14" si="1">SUM(T7:T13)</f>
        <v>14267</v>
      </c>
      <c r="U14" s="194">
        <f t="shared" si="1"/>
        <v>72859</v>
      </c>
      <c r="V14" s="192">
        <f>SUM(V7:V13)</f>
        <v>18304</v>
      </c>
      <c r="W14" s="192">
        <f>SUM(W7:W13)</f>
        <v>18193</v>
      </c>
      <c r="X14" s="192">
        <f>SUM(X7:X13)</f>
        <v>14889</v>
      </c>
      <c r="Y14" s="192">
        <f t="shared" ref="Y14:Z14" si="2">SUM(Y7:Y13)</f>
        <v>28044</v>
      </c>
      <c r="Z14" s="194">
        <f t="shared" si="2"/>
        <v>79430</v>
      </c>
      <c r="AA14" s="192">
        <f>SUM(AA7:AA13)</f>
        <v>15600</v>
      </c>
      <c r="AB14" s="192">
        <f>SUM(AB7:AB13)</f>
        <v>10557</v>
      </c>
      <c r="AC14" s="192">
        <f>SUM(AC7:AC13)</f>
        <v>19009</v>
      </c>
      <c r="AD14" s="192">
        <f t="shared" ref="AD14:AE14" si="3">SUM(AD7:AD13)</f>
        <v>14316</v>
      </c>
      <c r="AE14" s="194">
        <f t="shared" si="3"/>
        <v>59482</v>
      </c>
      <c r="AF14" s="192">
        <f>SUM(AF7:AF13)</f>
        <v>19702</v>
      </c>
      <c r="AG14" s="192">
        <f>SUM(AG7:AG13)</f>
        <v>25827</v>
      </c>
      <c r="AH14" s="192">
        <f>SUM(AH7:AH13)</f>
        <v>16803</v>
      </c>
      <c r="AI14" s="192">
        <f t="shared" ref="AI14:AJ14" si="4">SUM(AI7:AI13)</f>
        <v>17263</v>
      </c>
      <c r="AJ14" s="194">
        <f t="shared" si="4"/>
        <v>79595</v>
      </c>
      <c r="AK14" s="192">
        <f>SUM(AK7:AK13)</f>
        <v>12496</v>
      </c>
      <c r="AL14" s="289">
        <f>SUM(AL7:AL13)</f>
        <v>87234</v>
      </c>
      <c r="AM14" s="289">
        <f>SUM(AM7:AM13)</f>
        <v>26704</v>
      </c>
      <c r="AN14" s="289">
        <f t="shared" ref="AN14:AO14" si="5">SUM(AN7:AN13)</f>
        <v>35846</v>
      </c>
      <c r="AO14" s="194">
        <f t="shared" si="5"/>
        <v>162280</v>
      </c>
      <c r="AP14" s="289">
        <f>SUM(AP7:AP13)</f>
        <v>40083</v>
      </c>
      <c r="AQ14" s="289">
        <f>SUM(AQ7:AQ13)</f>
        <v>31619</v>
      </c>
      <c r="AR14" s="289">
        <f>SUM(AR7:AR13)</f>
        <v>36098</v>
      </c>
      <c r="AS14" s="289">
        <f t="shared" ref="AS14:AT14" si="6">SUM(AS7:AS13)</f>
        <v>28854</v>
      </c>
      <c r="AT14" s="194">
        <f t="shared" si="6"/>
        <v>136655</v>
      </c>
      <c r="AU14" s="289">
        <f>SUM(AU7:AU13)</f>
        <v>38926</v>
      </c>
    </row>
    <row r="15" spans="1:47" ht="15" customHeight="1" thickBot="1" x14ac:dyDescent="0.3">
      <c r="A15" s="145" t="s">
        <v>235</v>
      </c>
      <c r="B15" s="219">
        <f t="shared" ref="B15:AO15" si="7">SUM(B5,B14)</f>
        <v>20833</v>
      </c>
      <c r="C15" s="219">
        <f t="shared" si="7"/>
        <v>10617</v>
      </c>
      <c r="D15" s="219">
        <f t="shared" si="7"/>
        <v>11373</v>
      </c>
      <c r="E15" s="219">
        <f t="shared" si="7"/>
        <v>47015</v>
      </c>
      <c r="F15" s="220">
        <f t="shared" si="7"/>
        <v>89835</v>
      </c>
      <c r="G15" s="219">
        <f t="shared" si="7"/>
        <v>28086</v>
      </c>
      <c r="H15" s="219">
        <f t="shared" si="7"/>
        <v>21892</v>
      </c>
      <c r="I15" s="219">
        <f t="shared" si="7"/>
        <v>31299</v>
      </c>
      <c r="J15" s="219">
        <f t="shared" si="7"/>
        <v>55500</v>
      </c>
      <c r="K15" s="220">
        <f t="shared" si="7"/>
        <v>136777</v>
      </c>
      <c r="L15" s="219">
        <f t="shared" si="7"/>
        <v>30821</v>
      </c>
      <c r="M15" s="219">
        <f t="shared" si="7"/>
        <v>26244</v>
      </c>
      <c r="N15" s="219">
        <f t="shared" si="7"/>
        <v>44416</v>
      </c>
      <c r="O15" s="219">
        <f t="shared" si="7"/>
        <v>81829</v>
      </c>
      <c r="P15" s="221">
        <f t="shared" si="7"/>
        <v>183311</v>
      </c>
      <c r="Q15" s="219">
        <f t="shared" si="7"/>
        <v>40519</v>
      </c>
      <c r="R15" s="219">
        <f t="shared" si="7"/>
        <v>35482</v>
      </c>
      <c r="S15" s="219">
        <f t="shared" si="7"/>
        <v>36336</v>
      </c>
      <c r="T15" s="219">
        <f t="shared" si="7"/>
        <v>56401</v>
      </c>
      <c r="U15" s="221">
        <f t="shared" si="7"/>
        <v>168738</v>
      </c>
      <c r="V15" s="219">
        <f t="shared" si="7"/>
        <v>39705</v>
      </c>
      <c r="W15" s="219">
        <f t="shared" si="7"/>
        <v>30730</v>
      </c>
      <c r="X15" s="219">
        <f t="shared" si="7"/>
        <v>35446</v>
      </c>
      <c r="Y15" s="219">
        <f t="shared" si="7"/>
        <v>69518</v>
      </c>
      <c r="Z15" s="221">
        <f t="shared" si="7"/>
        <v>175399</v>
      </c>
      <c r="AA15" s="219">
        <f t="shared" si="7"/>
        <v>32028</v>
      </c>
      <c r="AB15" s="219">
        <f t="shared" si="7"/>
        <v>16707</v>
      </c>
      <c r="AC15" s="219">
        <f t="shared" si="7"/>
        <v>24302</v>
      </c>
      <c r="AD15" s="219">
        <f t="shared" si="7"/>
        <v>61134</v>
      </c>
      <c r="AE15" s="221">
        <f t="shared" si="7"/>
        <v>134171</v>
      </c>
      <c r="AF15" s="219">
        <f t="shared" si="7"/>
        <v>43152</v>
      </c>
      <c r="AG15" s="219">
        <f t="shared" si="7"/>
        <v>40856</v>
      </c>
      <c r="AH15" s="219">
        <f t="shared" si="7"/>
        <v>41033</v>
      </c>
      <c r="AI15" s="219">
        <f t="shared" si="7"/>
        <v>92201</v>
      </c>
      <c r="AJ15" s="221">
        <f t="shared" si="7"/>
        <v>217242</v>
      </c>
      <c r="AK15" s="219">
        <f t="shared" si="7"/>
        <v>33774</v>
      </c>
      <c r="AL15" s="290">
        <f t="shared" si="7"/>
        <v>54261</v>
      </c>
      <c r="AM15" s="290">
        <f t="shared" si="7"/>
        <v>33225</v>
      </c>
      <c r="AN15" s="290">
        <f t="shared" si="7"/>
        <v>51895</v>
      </c>
      <c r="AO15" s="221">
        <f t="shared" si="7"/>
        <v>173155</v>
      </c>
      <c r="AP15" s="290">
        <f>SUM(AP5,AP14)</f>
        <v>28012</v>
      </c>
      <c r="AQ15" s="290">
        <f>SUM(AQ5,AQ14)</f>
        <v>29648</v>
      </c>
      <c r="AR15" s="290">
        <f t="shared" ref="AR15:AT15" si="8">SUM(AR5,AR14)</f>
        <v>42733</v>
      </c>
      <c r="AS15" s="290">
        <f t="shared" si="8"/>
        <v>90905</v>
      </c>
      <c r="AT15" s="221">
        <f t="shared" si="8"/>
        <v>191299</v>
      </c>
      <c r="AU15" s="290">
        <f>SUM(AU5,AU14)</f>
        <v>47492</v>
      </c>
    </row>
    <row r="16" spans="1:47" ht="15" customHeight="1" thickTop="1" x14ac:dyDescent="0.25">
      <c r="F16" s="175"/>
      <c r="K16" s="175"/>
      <c r="P16" s="176"/>
      <c r="U16" s="176"/>
      <c r="Z16" s="176"/>
      <c r="AE16" s="176"/>
      <c r="AJ16" s="176"/>
      <c r="AO16" s="176"/>
      <c r="AT16" s="176"/>
    </row>
    <row r="17" spans="1:47" ht="15" customHeight="1" x14ac:dyDescent="0.25">
      <c r="A17" s="142" t="s">
        <v>236</v>
      </c>
      <c r="F17" s="175"/>
      <c r="K17" s="175"/>
      <c r="P17" s="176"/>
      <c r="U17" s="176"/>
      <c r="Z17" s="176"/>
      <c r="AE17" s="176"/>
      <c r="AJ17" s="176"/>
      <c r="AO17" s="176"/>
      <c r="AT17" s="176"/>
    </row>
    <row r="18" spans="1:47" ht="15" customHeight="1" x14ac:dyDescent="0.25">
      <c r="A18" s="222" t="s">
        <v>237</v>
      </c>
      <c r="B18" s="209">
        <f>'P&amp;L'!B28</f>
        <v>61174168</v>
      </c>
      <c r="C18" s="209">
        <f>'P&amp;L'!C28</f>
        <v>61719367</v>
      </c>
      <c r="D18" s="209">
        <f>'P&amp;L'!D28</f>
        <v>62082110</v>
      </c>
      <c r="E18" s="209">
        <f>'P&amp;L'!E28</f>
        <v>62348620</v>
      </c>
      <c r="F18" s="217">
        <f>'P&amp;L'!F28</f>
        <v>61835499</v>
      </c>
      <c r="G18" s="209">
        <f>'P&amp;L'!G28</f>
        <v>62610013</v>
      </c>
      <c r="H18" s="209">
        <f>'P&amp;L'!H28</f>
        <v>63246785</v>
      </c>
      <c r="I18" s="209">
        <f>'P&amp;L'!I28</f>
        <v>63628351</v>
      </c>
      <c r="J18" s="209">
        <f>'P&amp;L'!J28</f>
        <v>63760491</v>
      </c>
      <c r="K18" s="217">
        <f>'P&amp;L'!K28</f>
        <v>63337792</v>
      </c>
      <c r="L18" s="209">
        <f>'P&amp;L'!L28</f>
        <v>64189194</v>
      </c>
      <c r="M18" s="209">
        <f>'P&amp;L'!M28</f>
        <v>65027985</v>
      </c>
      <c r="N18" s="209">
        <f>'P&amp;L'!N28</f>
        <v>65412326</v>
      </c>
      <c r="O18" s="209">
        <f>'P&amp;L'!O28</f>
        <v>65919533</v>
      </c>
      <c r="P18" s="210">
        <f>'P&amp;L'!P28</f>
        <v>65143036</v>
      </c>
      <c r="Q18" s="209">
        <f>'P&amp;L'!Q28</f>
        <v>66160375</v>
      </c>
      <c r="R18" s="209">
        <f>'P&amp;L'!R28</f>
        <v>66347599</v>
      </c>
      <c r="S18" s="209">
        <f>'P&amp;L'!S28</f>
        <v>67075453</v>
      </c>
      <c r="T18" s="209">
        <f>'P&amp;L'!T28</f>
        <v>66220030</v>
      </c>
      <c r="U18" s="210">
        <f>'P&amp;L'!U28</f>
        <v>66456890</v>
      </c>
      <c r="V18" s="209">
        <f>'P&amp;L'!V28</f>
        <v>64336777</v>
      </c>
      <c r="W18" s="209">
        <f>'P&amp;L'!W28</f>
        <v>64581476</v>
      </c>
      <c r="X18" s="209">
        <f>'P&amp;L'!X28</f>
        <v>64868545</v>
      </c>
      <c r="Y18" s="209">
        <f>'P&amp;L'!Y28</f>
        <v>63430621</v>
      </c>
      <c r="Z18" s="210">
        <f>'P&amp;L'!Z28</f>
        <v>64305965</v>
      </c>
      <c r="AA18" s="209">
        <f>'P&amp;L'!AA28</f>
        <v>61691001</v>
      </c>
      <c r="AB18" s="209">
        <f>'P&amp;L'!AB28</f>
        <v>61415467</v>
      </c>
      <c r="AC18" s="209">
        <f>'P&amp;L'!AC28</f>
        <v>60080598</v>
      </c>
      <c r="AD18" s="209">
        <f>'P&amp;L'!AD28</f>
        <v>60336486</v>
      </c>
      <c r="AE18" s="210">
        <f>'P&amp;L'!AE28</f>
        <v>60876480</v>
      </c>
      <c r="AF18" s="209">
        <f>'P&amp;L'!AF28</f>
        <v>60741674</v>
      </c>
      <c r="AG18" s="209">
        <f>'P&amp;L'!AG28</f>
        <v>60663301</v>
      </c>
      <c r="AH18" s="209">
        <f>'P&amp;L'!AH28</f>
        <v>60873594</v>
      </c>
      <c r="AI18" s="209">
        <f>'P&amp;L'!AI28</f>
        <v>60590826</v>
      </c>
      <c r="AJ18" s="210">
        <f>'P&amp;L'!AJ28</f>
        <v>60717446</v>
      </c>
      <c r="AK18" s="209">
        <f>'P&amp;L'!AK28</f>
        <v>60738299</v>
      </c>
      <c r="AL18" s="288">
        <f>'P&amp;L'!AL28</f>
        <v>60240344</v>
      </c>
      <c r="AM18" s="288">
        <v>60318114</v>
      </c>
      <c r="AN18" s="288">
        <f>'P&amp;L'!AN28</f>
        <v>58732771</v>
      </c>
      <c r="AO18" s="210">
        <f>'P&amp;L'!AO28</f>
        <v>60004706.519230776</v>
      </c>
      <c r="AP18" s="288">
        <v>56256082</v>
      </c>
      <c r="AQ18" s="288">
        <f>'P&amp;L'!AQ28</f>
        <v>55924824</v>
      </c>
      <c r="AR18" s="288">
        <f>'P&amp;L'!AR28</f>
        <v>56297666</v>
      </c>
      <c r="AS18" s="288">
        <f>'P&amp;L'!AS28</f>
        <v>56107042</v>
      </c>
      <c r="AT18" s="210">
        <f>'P&amp;L'!AT28</f>
        <v>56170658</v>
      </c>
      <c r="AU18" s="288">
        <f>'P&amp;L'!AU28</f>
        <v>55149622</v>
      </c>
    </row>
    <row r="19" spans="1:47" ht="15" customHeight="1" x14ac:dyDescent="0.25">
      <c r="A19" s="222" t="s">
        <v>238</v>
      </c>
      <c r="B19" s="209">
        <f>'P&amp;L'!B29</f>
        <v>64741942</v>
      </c>
      <c r="C19" s="209">
        <f>'P&amp;L'!C29</f>
        <v>65279611</v>
      </c>
      <c r="D19" s="209">
        <f>'P&amp;L'!D29</f>
        <v>65254238</v>
      </c>
      <c r="E19" s="209">
        <f>'P&amp;L'!E29</f>
        <v>65092423</v>
      </c>
      <c r="F19" s="217">
        <f>'P&amp;L'!F29</f>
        <v>65096486</v>
      </c>
      <c r="G19" s="209">
        <f>'P&amp;L'!G29</f>
        <v>64841134</v>
      </c>
      <c r="H19" s="209">
        <f>'P&amp;L'!H29</f>
        <v>65625097</v>
      </c>
      <c r="I19" s="209">
        <f>'P&amp;L'!I29</f>
        <v>65816422</v>
      </c>
      <c r="J19" s="209">
        <f>'P&amp;L'!J29</f>
        <v>66145704</v>
      </c>
      <c r="K19" s="217">
        <f>'P&amp;L'!K29</f>
        <v>65633470</v>
      </c>
      <c r="L19" s="209">
        <f>'P&amp;L'!L29</f>
        <v>67283012</v>
      </c>
      <c r="M19" s="209">
        <f>'P&amp;L'!M29</f>
        <v>68131274</v>
      </c>
      <c r="N19" s="209">
        <f>'P&amp;L'!N29</f>
        <v>68200343</v>
      </c>
      <c r="O19" s="209">
        <f>'P&amp;L'!O29</f>
        <v>67770156</v>
      </c>
      <c r="P19" s="210">
        <f>'P&amp;L'!P29</f>
        <v>67851971</v>
      </c>
      <c r="Q19" s="209">
        <f>'P&amp;L'!Q29</f>
        <v>67469738</v>
      </c>
      <c r="R19" s="209">
        <f>'P&amp;L'!R29</f>
        <v>67488311</v>
      </c>
      <c r="S19" s="209">
        <f>'P&amp;L'!S29</f>
        <v>68625673</v>
      </c>
      <c r="T19" s="209">
        <f>'P&amp;L'!T29</f>
        <v>67043794</v>
      </c>
      <c r="U19" s="210">
        <f>'P&amp;L'!U29</f>
        <v>67662904</v>
      </c>
      <c r="V19" s="209">
        <f>'P&amp;L'!V29</f>
        <v>66041296</v>
      </c>
      <c r="W19" s="209">
        <f>'P&amp;L'!W29</f>
        <v>65624505</v>
      </c>
      <c r="X19" s="209">
        <f>'P&amp;L'!X29</f>
        <v>66067045</v>
      </c>
      <c r="Y19" s="209">
        <f>'P&amp;L'!Y29</f>
        <v>64655065</v>
      </c>
      <c r="Z19" s="210">
        <f>'P&amp;L'!Z29</f>
        <v>65598588</v>
      </c>
      <c r="AA19" s="209">
        <f>'P&amp;L'!AA29</f>
        <v>62125582</v>
      </c>
      <c r="AB19" s="209">
        <f>'P&amp;L'!AB29</f>
        <v>61790135</v>
      </c>
      <c r="AC19" s="209">
        <f>'P&amp;L'!AC29</f>
        <v>61027795</v>
      </c>
      <c r="AD19" s="209">
        <f>'P&amp;L'!AD29</f>
        <v>62348489</v>
      </c>
      <c r="AE19" s="210">
        <f>'P&amp;L'!AE29</f>
        <v>61818593</v>
      </c>
      <c r="AF19" s="209">
        <f>'P&amp;L'!AF29</f>
        <v>64077410</v>
      </c>
      <c r="AG19" s="209">
        <f>'P&amp;L'!AG29</f>
        <v>64665212</v>
      </c>
      <c r="AH19" s="209">
        <f>'P&amp;L'!AH29</f>
        <v>64197686</v>
      </c>
      <c r="AI19" s="209">
        <f>'P&amp;L'!AI29</f>
        <v>63985850</v>
      </c>
      <c r="AJ19" s="210">
        <f>'P&amp;L'!AJ29</f>
        <v>64231637</v>
      </c>
      <c r="AK19" s="209">
        <f>'P&amp;L'!AK29</f>
        <v>63613550</v>
      </c>
      <c r="AL19" s="288">
        <v>62303670</v>
      </c>
      <c r="AM19" s="288">
        <v>63235811</v>
      </c>
      <c r="AN19" s="288">
        <f>'P&amp;L'!AN29</f>
        <v>61898460</v>
      </c>
      <c r="AO19" s="210">
        <f>'P&amp;L'!AO29</f>
        <v>62760197.319102503</v>
      </c>
      <c r="AP19" s="288">
        <v>56256082</v>
      </c>
      <c r="AQ19" s="288">
        <v>60474688</v>
      </c>
      <c r="AR19" s="288">
        <f>'P&amp;L'!AR29</f>
        <v>60172953</v>
      </c>
      <c r="AS19" s="288">
        <f>'P&amp;L'!AS29</f>
        <v>59687020</v>
      </c>
      <c r="AT19" s="210">
        <f>'P&amp;L'!AT29</f>
        <v>60231627</v>
      </c>
      <c r="AU19" s="288">
        <f>'P&amp;L'!AU29</f>
        <v>59332882</v>
      </c>
    </row>
    <row r="20" spans="1:47" ht="15" customHeight="1" x14ac:dyDescent="0.25">
      <c r="F20" s="175"/>
      <c r="K20" s="175"/>
      <c r="P20" s="176"/>
      <c r="U20" s="176"/>
      <c r="Z20" s="176"/>
      <c r="AE20" s="176"/>
      <c r="AJ20" s="176"/>
      <c r="AO20" s="176"/>
      <c r="AT20" s="176"/>
    </row>
    <row r="21" spans="1:47" ht="15" customHeight="1" x14ac:dyDescent="0.25">
      <c r="A21" s="142" t="s">
        <v>239</v>
      </c>
      <c r="F21" s="175"/>
      <c r="K21" s="175"/>
      <c r="P21" s="176"/>
      <c r="U21" s="176"/>
      <c r="Z21" s="176"/>
      <c r="AE21" s="176"/>
      <c r="AJ21" s="176"/>
      <c r="AO21" s="176"/>
      <c r="AT21" s="176"/>
    </row>
    <row r="22" spans="1:47" ht="15" customHeight="1" thickBot="1" x14ac:dyDescent="0.3">
      <c r="A22" s="222" t="s">
        <v>237</v>
      </c>
      <c r="B22" s="223">
        <f>ROUND(B15*1000/B18,2)</f>
        <v>0.34</v>
      </c>
      <c r="C22" s="223">
        <f t="shared" ref="C22:Q22" si="9">ROUND(C15*1000/C18,2)</f>
        <v>0.17</v>
      </c>
      <c r="D22" s="223">
        <f t="shared" si="9"/>
        <v>0.18</v>
      </c>
      <c r="E22" s="223">
        <f t="shared" si="9"/>
        <v>0.75</v>
      </c>
      <c r="F22" s="224">
        <f t="shared" si="9"/>
        <v>1.45</v>
      </c>
      <c r="G22" s="223">
        <f t="shared" si="9"/>
        <v>0.45</v>
      </c>
      <c r="H22" s="223">
        <f t="shared" si="9"/>
        <v>0.35</v>
      </c>
      <c r="I22" s="223">
        <f t="shared" si="9"/>
        <v>0.49</v>
      </c>
      <c r="J22" s="223">
        <f t="shared" si="9"/>
        <v>0.87</v>
      </c>
      <c r="K22" s="224">
        <f t="shared" si="9"/>
        <v>2.16</v>
      </c>
      <c r="L22" s="223">
        <f t="shared" si="9"/>
        <v>0.48</v>
      </c>
      <c r="M22" s="223">
        <f t="shared" si="9"/>
        <v>0.4</v>
      </c>
      <c r="N22" s="223">
        <f t="shared" si="9"/>
        <v>0.68</v>
      </c>
      <c r="O22" s="223">
        <f t="shared" si="9"/>
        <v>1.24</v>
      </c>
      <c r="P22" s="225">
        <f t="shared" si="9"/>
        <v>2.81</v>
      </c>
      <c r="Q22" s="223">
        <f t="shared" si="9"/>
        <v>0.61</v>
      </c>
      <c r="R22" s="223">
        <f t="shared" ref="R22:V22" si="10">ROUND(R15*1000/R18,2)</f>
        <v>0.53</v>
      </c>
      <c r="S22" s="223">
        <f t="shared" si="10"/>
        <v>0.54</v>
      </c>
      <c r="T22" s="223">
        <f t="shared" si="10"/>
        <v>0.85</v>
      </c>
      <c r="U22" s="225">
        <f t="shared" si="10"/>
        <v>2.54</v>
      </c>
      <c r="V22" s="223">
        <f t="shared" si="10"/>
        <v>0.62</v>
      </c>
      <c r="W22" s="223">
        <f t="shared" ref="W22:AA22" si="11">ROUND(W15*1000/W18,2)</f>
        <v>0.48</v>
      </c>
      <c r="X22" s="223">
        <f t="shared" si="11"/>
        <v>0.55000000000000004</v>
      </c>
      <c r="Y22" s="223">
        <f t="shared" si="11"/>
        <v>1.1000000000000001</v>
      </c>
      <c r="Z22" s="225">
        <f t="shared" si="11"/>
        <v>2.73</v>
      </c>
      <c r="AA22" s="223">
        <f t="shared" si="11"/>
        <v>0.52</v>
      </c>
      <c r="AB22" s="223">
        <f t="shared" ref="AB22:AF22" si="12">ROUND(AB15*1000/AB18,2)</f>
        <v>0.27</v>
      </c>
      <c r="AC22" s="223">
        <f t="shared" si="12"/>
        <v>0.4</v>
      </c>
      <c r="AD22" s="223">
        <f t="shared" si="12"/>
        <v>1.01</v>
      </c>
      <c r="AE22" s="225">
        <f t="shared" si="12"/>
        <v>2.2000000000000002</v>
      </c>
      <c r="AF22" s="223">
        <f t="shared" si="12"/>
        <v>0.71</v>
      </c>
      <c r="AG22" s="223">
        <f t="shared" ref="AG22:AK22" si="13">ROUND(AG15*1000/AG18,2)</f>
        <v>0.67</v>
      </c>
      <c r="AH22" s="223">
        <f t="shared" si="13"/>
        <v>0.67</v>
      </c>
      <c r="AI22" s="223">
        <f t="shared" si="13"/>
        <v>1.52</v>
      </c>
      <c r="AJ22" s="225">
        <f t="shared" si="13"/>
        <v>3.58</v>
      </c>
      <c r="AK22" s="223">
        <f t="shared" si="13"/>
        <v>0.56000000000000005</v>
      </c>
      <c r="AL22" s="291">
        <f>ROUND(AL15*1000/AL18,2)</f>
        <v>0.9</v>
      </c>
      <c r="AM22" s="291">
        <f>ROUND(AM15*1000/AM18,2)</f>
        <v>0.55000000000000004</v>
      </c>
      <c r="AN22" s="291">
        <f t="shared" ref="AN22" si="14">ROUND(AN15*1000/AN18,2)</f>
        <v>0.88</v>
      </c>
      <c r="AO22" s="225">
        <f>ROUND(AO15*1000/AO18,2)</f>
        <v>2.89</v>
      </c>
      <c r="AP22" s="291">
        <f>ROUND(AP15*1000/AP18,2)</f>
        <v>0.5</v>
      </c>
      <c r="AQ22" s="291">
        <f>ROUND(AQ15*1000/AQ18,2)</f>
        <v>0.53</v>
      </c>
      <c r="AR22" s="291">
        <f>ROUND(AR15*1000/AR18,2)</f>
        <v>0.76</v>
      </c>
      <c r="AS22" s="291">
        <f t="shared" ref="AS22" si="15">ROUND(AS15*1000/AS18,2)</f>
        <v>1.62</v>
      </c>
      <c r="AT22" s="225">
        <f>ROUND(AT15*1000/AT18,2)</f>
        <v>3.41</v>
      </c>
      <c r="AU22" s="291">
        <f>ROUND(AU15*1000/AU18,2)</f>
        <v>0.86</v>
      </c>
    </row>
    <row r="23" spans="1:47" ht="15" customHeight="1" thickTop="1" thickBot="1" x14ac:dyDescent="0.3">
      <c r="A23" s="222" t="s">
        <v>238</v>
      </c>
      <c r="B23" s="223">
        <f>ROUND(B15*1000/B19,2)</f>
        <v>0.32</v>
      </c>
      <c r="C23" s="223">
        <f t="shared" ref="C23:Q23" si="16">ROUND(C15*1000/C19,2)</f>
        <v>0.16</v>
      </c>
      <c r="D23" s="223">
        <f t="shared" si="16"/>
        <v>0.17</v>
      </c>
      <c r="E23" s="223">
        <f t="shared" si="16"/>
        <v>0.72</v>
      </c>
      <c r="F23" s="224">
        <f t="shared" si="16"/>
        <v>1.38</v>
      </c>
      <c r="G23" s="223">
        <f t="shared" si="16"/>
        <v>0.43</v>
      </c>
      <c r="H23" s="223">
        <f t="shared" si="16"/>
        <v>0.33</v>
      </c>
      <c r="I23" s="223">
        <f t="shared" si="16"/>
        <v>0.48</v>
      </c>
      <c r="J23" s="223">
        <f t="shared" si="16"/>
        <v>0.84</v>
      </c>
      <c r="K23" s="226">
        <f t="shared" si="16"/>
        <v>2.08</v>
      </c>
      <c r="L23" s="223">
        <f t="shared" si="16"/>
        <v>0.46</v>
      </c>
      <c r="M23" s="223">
        <f t="shared" si="16"/>
        <v>0.39</v>
      </c>
      <c r="N23" s="227">
        <f t="shared" si="16"/>
        <v>0.65</v>
      </c>
      <c r="O23" s="227">
        <f t="shared" si="16"/>
        <v>1.21</v>
      </c>
      <c r="P23" s="228">
        <f t="shared" si="16"/>
        <v>2.7</v>
      </c>
      <c r="Q23" s="227">
        <f t="shared" si="16"/>
        <v>0.6</v>
      </c>
      <c r="R23" s="227">
        <f t="shared" ref="R23:V23" si="17">ROUND(R15*1000/R19,2)</f>
        <v>0.53</v>
      </c>
      <c r="S23" s="227">
        <f t="shared" si="17"/>
        <v>0.53</v>
      </c>
      <c r="T23" s="227">
        <f t="shared" si="17"/>
        <v>0.84</v>
      </c>
      <c r="U23" s="228">
        <f t="shared" si="17"/>
        <v>2.4900000000000002</v>
      </c>
      <c r="V23" s="227">
        <f t="shared" si="17"/>
        <v>0.6</v>
      </c>
      <c r="W23" s="227">
        <f t="shared" ref="W23:AA23" si="18">ROUND(W15*1000/W19,2)</f>
        <v>0.47</v>
      </c>
      <c r="X23" s="227">
        <f t="shared" si="18"/>
        <v>0.54</v>
      </c>
      <c r="Y23" s="227">
        <f t="shared" si="18"/>
        <v>1.08</v>
      </c>
      <c r="Z23" s="228">
        <f t="shared" si="18"/>
        <v>2.67</v>
      </c>
      <c r="AA23" s="227">
        <f t="shared" si="18"/>
        <v>0.52</v>
      </c>
      <c r="AB23" s="227">
        <f t="shared" ref="AB23:AF23" si="19">ROUND(AB15*1000/AB19,2)</f>
        <v>0.27</v>
      </c>
      <c r="AC23" s="227">
        <f t="shared" si="19"/>
        <v>0.4</v>
      </c>
      <c r="AD23" s="227">
        <f t="shared" si="19"/>
        <v>0.98</v>
      </c>
      <c r="AE23" s="228">
        <f t="shared" si="19"/>
        <v>2.17</v>
      </c>
      <c r="AF23" s="227">
        <f t="shared" si="19"/>
        <v>0.67</v>
      </c>
      <c r="AG23" s="227">
        <f t="shared" ref="AG23:AK23" si="20">ROUND(AG15*1000/AG19,2)</f>
        <v>0.63</v>
      </c>
      <c r="AH23" s="227">
        <f t="shared" si="20"/>
        <v>0.64</v>
      </c>
      <c r="AI23" s="227">
        <f t="shared" si="20"/>
        <v>1.44</v>
      </c>
      <c r="AJ23" s="228">
        <f t="shared" si="20"/>
        <v>3.38</v>
      </c>
      <c r="AK23" s="227">
        <f t="shared" si="20"/>
        <v>0.53</v>
      </c>
      <c r="AL23" s="292">
        <f>ROUND(AL15*1000/AL19,2)</f>
        <v>0.87</v>
      </c>
      <c r="AM23" s="292">
        <f>ROUND(AM15*1000/AM19,2)</f>
        <v>0.53</v>
      </c>
      <c r="AN23" s="292">
        <f t="shared" ref="AN23:AP23" si="21">ROUND(AN15*1000/AN19,2)</f>
        <v>0.84</v>
      </c>
      <c r="AO23" s="228">
        <f t="shared" si="21"/>
        <v>2.76</v>
      </c>
      <c r="AP23" s="292">
        <f t="shared" si="21"/>
        <v>0.5</v>
      </c>
      <c r="AQ23" s="292">
        <f>ROUND(AQ15*1000/AQ19,2)</f>
        <v>0.49</v>
      </c>
      <c r="AR23" s="292">
        <f>ROUND(AR15*1000/AR19,2)</f>
        <v>0.71</v>
      </c>
      <c r="AS23" s="292">
        <f t="shared" ref="AS23" si="22">ROUND(AS15*1000/AS19,2)</f>
        <v>1.52</v>
      </c>
      <c r="AT23" s="228">
        <f>ROUND(AT15*1000/AT19,2)</f>
        <v>3.18</v>
      </c>
      <c r="AU23" s="292">
        <f t="shared" ref="AU23" si="23">ROUND(AU15*1000/AU19,2)</f>
        <v>0.8</v>
      </c>
    </row>
    <row r="24" spans="1:47" ht="15" customHeight="1" thickTop="1" x14ac:dyDescent="0.25">
      <c r="F24" s="175"/>
      <c r="K24" s="175"/>
      <c r="P24" s="176"/>
      <c r="U24" s="176"/>
      <c r="Z24" s="176"/>
      <c r="AE24" s="176"/>
      <c r="AJ24" s="176"/>
      <c r="AO24" s="176"/>
      <c r="AT24" s="176"/>
    </row>
    <row r="25" spans="1:47" ht="134.25" customHeight="1" x14ac:dyDescent="0.25">
      <c r="A25" s="319" t="s">
        <v>240</v>
      </c>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row>
    <row r="26" spans="1:47" ht="15" customHeight="1" x14ac:dyDescent="0.25"/>
    <row r="27" spans="1:47" ht="15" customHeight="1" x14ac:dyDescent="0.25"/>
    <row r="28" spans="1:47" ht="15" customHeight="1" x14ac:dyDescent="0.25"/>
    <row r="29" spans="1:47" ht="15" customHeight="1" x14ac:dyDescent="0.25"/>
    <row r="30" spans="1:47" ht="15" customHeight="1" x14ac:dyDescent="0.25"/>
    <row r="31" spans="1:47" ht="15" customHeight="1" x14ac:dyDescent="0.25"/>
    <row r="32" spans="1:47"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sheetData>
  <mergeCells count="1">
    <mergeCell ref="A25:AG25"/>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7723094-b48d-4553-a289-9e55402c0c9a">
      <UserInfo>
        <DisplayName>Ahmed Lakhloufi</DisplayName>
        <AccountId>38</AccountId>
        <AccountType/>
      </UserInfo>
      <UserInfo>
        <DisplayName>Justyna Plesiewicz</DisplayName>
        <AccountId>41</AccountId>
        <AccountType/>
      </UserInfo>
      <UserInfo>
        <DisplayName>Edouard Lassalle</DisplayName>
        <AccountId>15</AccountId>
        <AccountType/>
      </UserInfo>
      <UserInfo>
        <DisplayName>Emmanuelle Piesset</DisplayName>
        <AccountId>354</AccountId>
        <AccountType/>
      </UserInfo>
      <UserInfo>
        <DisplayName>SharingLinks.b9962d19-3299-40e1-b352-3106ea66c08a.OrganizationEdit.01971732-e08a-4638-b883-ce7c7d3847d9</DisplayName>
        <AccountId>349</AccountId>
        <AccountType/>
      </UserInfo>
      <UserInfo>
        <DisplayName>YOUNA BURO</DisplayName>
        <AccountId>708</AccountId>
        <AccountType/>
      </UserInfo>
      <UserInfo>
        <DisplayName>Julie Roucher</DisplayName>
        <AccountId>1254</AccountId>
        <AccountType/>
      </UserInfo>
      <UserInfo>
        <DisplayName>Sofian Billioud</DisplayName>
        <AccountId>1146</AccountId>
        <AccountType/>
      </UserInfo>
      <UserInfo>
        <DisplayName>Andrew Bassel</DisplayName>
        <AccountId>758</AccountId>
        <AccountType/>
      </UserInfo>
      <UserInfo>
        <DisplayName>Melanie Dambre</DisplayName>
        <AccountId>529</AccountId>
        <AccountType/>
      </UserInfo>
    </SharedWithUsers>
    <TaxCatchAll xmlns="17723094-b48d-4553-a289-9e55402c0c9a" xsi:nil="true"/>
    <lcf76f155ced4ddcb4097134ff3c332f xmlns="21713d80-713e-4630-95a9-09125392c97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36854949ECD149A2096B1C1F8454E7" ma:contentTypeVersion="18" ma:contentTypeDescription="Create a new document." ma:contentTypeScope="" ma:versionID="4fe804eab8321dd6785204e55c580d89">
  <xsd:schema xmlns:xsd="http://www.w3.org/2001/XMLSchema" xmlns:xs="http://www.w3.org/2001/XMLSchema" xmlns:p="http://schemas.microsoft.com/office/2006/metadata/properties" xmlns:ns2="21713d80-713e-4630-95a9-09125392c97e" xmlns:ns3="17723094-b48d-4553-a289-9e55402c0c9a" targetNamespace="http://schemas.microsoft.com/office/2006/metadata/properties" ma:root="true" ma:fieldsID="53de0676d3f43b4f9635bc1df546c0c6" ns2:_="" ns3:_="">
    <xsd:import namespace="21713d80-713e-4630-95a9-09125392c97e"/>
    <xsd:import namespace="17723094-b48d-4553-a289-9e55402c0c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13d80-713e-4630-95a9-09125392c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ec30af2-885c-48a4-ac70-c1b0492118e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723094-b48d-4553-a289-9e55402c0c9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0083f53-9dc7-4af6-bd02-bf99ab842aa1}" ma:internalName="TaxCatchAll" ma:showField="CatchAllData" ma:web="17723094-b48d-4553-a289-9e55402c0c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ADB801-AF3A-4BA5-A644-EAD8C5860CC3}">
  <ds:schemaRefs>
    <ds:schemaRef ds:uri="http://schemas.microsoft.com/office/2006/metadata/properties"/>
    <ds:schemaRef ds:uri="http://schemas.microsoft.com/office/infopath/2007/PartnerControls"/>
    <ds:schemaRef ds:uri="17723094-b48d-4553-a289-9e55402c0c9a"/>
    <ds:schemaRef ds:uri="21713d80-713e-4630-95a9-09125392c97e"/>
  </ds:schemaRefs>
</ds:datastoreItem>
</file>

<file path=customXml/itemProps2.xml><?xml version="1.0" encoding="utf-8"?>
<ds:datastoreItem xmlns:ds="http://schemas.openxmlformats.org/officeDocument/2006/customXml" ds:itemID="{FA40E49D-851C-480C-B535-FFBC4EB4146D}">
  <ds:schemaRefs>
    <ds:schemaRef ds:uri="http://schemas.microsoft.com/sharepoint/v3/contenttype/forms"/>
  </ds:schemaRefs>
</ds:datastoreItem>
</file>

<file path=customXml/itemProps3.xml><?xml version="1.0" encoding="utf-8"?>
<ds:datastoreItem xmlns:ds="http://schemas.openxmlformats.org/officeDocument/2006/customXml" ds:itemID="{91A07343-83C5-4111-82B4-CCC572E23E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13d80-713e-4630-95a9-09125392c97e"/>
    <ds:schemaRef ds:uri="17723094-b48d-4553-a289-9e55402c0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Balance Sheet</vt:lpstr>
      <vt:lpstr>P&amp;L</vt:lpstr>
      <vt:lpstr>Cashflows</vt:lpstr>
      <vt:lpstr>Free Cash Flow</vt:lpstr>
      <vt:lpstr>Contribution Ex Tac</vt:lpstr>
      <vt:lpstr>Reconciliation Adj EBITDA</vt:lpstr>
      <vt:lpstr>Non GAAP OPEX</vt:lpstr>
      <vt:lpstr>Non GAAP Adjustments</vt:lpstr>
      <vt:lpstr>Adjusted Net Inc</vt:lpstr>
      <vt:lpstr>Historic Quarter Summary</vt:lpstr>
      <vt:lpstr>Shares Outstanding</vt:lpstr>
    </vt:vector>
  </TitlesOfParts>
  <Manager/>
  <Company>Workiva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2018 Earnings WB</dc:title>
  <dc:subject/>
  <dc:creator>Workiva - Clemence Vermersch</dc:creator>
  <cp:keywords/>
  <dc:description/>
  <cp:lastModifiedBy>YOUNA BURO</cp:lastModifiedBy>
  <cp:revision/>
  <dcterms:created xsi:type="dcterms:W3CDTF">2018-04-23T12:05:21Z</dcterms:created>
  <dcterms:modified xsi:type="dcterms:W3CDTF">2024-05-01T15:49:09Z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0x010100ED36854949ECD149A2096B1C1F8454E7</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y fmtid="{D5CDD505-2E9C-101B-9397-08002B2CF9AE}" pid="7" name="CofWorkbookId">
    <vt:lpwstr>8f258742-c710-45a3-8288-2326cac26337</vt:lpwstr>
  </property>
</Properties>
</file>