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c.vermersch\CRITEO\Investor &amp; Influencer Relations - Documents\Website\Financials-IR website\"/>
    </mc:Choice>
  </mc:AlternateContent>
  <xr:revisionPtr revIDLastSave="0" documentId="8_{EE9C6AD5-6574-4A3E-9D1F-DDFD2075221E}" xr6:coauthVersionLast="43" xr6:coauthVersionMax="43" xr10:uidLastSave="{00000000-0000-0000-0000-000000000000}"/>
  <bookViews>
    <workbookView xWindow="7613" yWindow="-16297" windowWidth="28995" windowHeight="15794" tabRatio="788" activeTab="9" xr2:uid="{00000000-000D-0000-FFFF-FFFF00000000}"/>
  </bookViews>
  <sheets>
    <sheet name="Balance Sheet" sheetId="1" r:id="rId1"/>
    <sheet name="P&amp;L" sheetId="2" r:id="rId2"/>
    <sheet name="Cashflows" sheetId="3" r:id="rId3"/>
    <sheet name="Free Cash Flow" sheetId="4" r:id="rId4"/>
    <sheet name="Rev Ex Tac" sheetId="5" r:id="rId5"/>
    <sheet name="Reconciliation Adj EBITDA" sheetId="6" r:id="rId6"/>
    <sheet name="Non GAAP OPEX" sheetId="7" r:id="rId7"/>
    <sheet name="Non GAAP Adjustments" sheetId="8" r:id="rId8"/>
    <sheet name="Adjusted Net Inc" sheetId="9" r:id="rId9"/>
    <sheet name="Shares Outstanding" sheetId="11" r:id="rId10"/>
    <sheet name="Historic Quarter Summary" sheetId="12"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6" i="3" l="1"/>
  <c r="C36" i="3"/>
  <c r="B36" i="3"/>
  <c r="W34" i="3"/>
  <c r="V34" i="3"/>
  <c r="U34" i="3"/>
  <c r="T34" i="3"/>
  <c r="S34" i="3"/>
  <c r="R34" i="3"/>
  <c r="Q34" i="3"/>
  <c r="P34" i="3"/>
  <c r="O34" i="3"/>
  <c r="N34" i="3"/>
  <c r="M34" i="3"/>
  <c r="L34" i="3"/>
  <c r="K34" i="3"/>
  <c r="J34" i="3"/>
  <c r="I34" i="3"/>
  <c r="H34" i="3"/>
  <c r="G34" i="3"/>
  <c r="F34" i="3"/>
  <c r="E34" i="3"/>
  <c r="D34" i="3"/>
  <c r="C34" i="3"/>
  <c r="B34" i="3"/>
  <c r="G33" i="3"/>
  <c r="H33" i="3"/>
  <c r="N33" i="3"/>
  <c r="W26" i="12" l="1"/>
  <c r="W24" i="12"/>
  <c r="W15" i="12"/>
  <c r="W14" i="12"/>
  <c r="W13" i="12"/>
  <c r="W12" i="12" s="1"/>
  <c r="W10" i="12"/>
  <c r="W20" i="12" s="1"/>
  <c r="W9" i="12"/>
  <c r="W19" i="12" s="1"/>
  <c r="W8" i="12"/>
  <c r="W7" i="12" s="1"/>
  <c r="W17" i="9"/>
  <c r="W18" i="9"/>
  <c r="W10" i="9"/>
  <c r="W9" i="9"/>
  <c r="W7" i="9"/>
  <c r="W5" i="9"/>
  <c r="W36" i="8"/>
  <c r="W35" i="8"/>
  <c r="W34" i="8"/>
  <c r="W33" i="8"/>
  <c r="W29" i="8"/>
  <c r="W28" i="8"/>
  <c r="W30" i="8" s="1"/>
  <c r="W24" i="8"/>
  <c r="W25" i="8" s="1"/>
  <c r="W20" i="8"/>
  <c r="W19" i="8"/>
  <c r="W18" i="8"/>
  <c r="W17" i="8"/>
  <c r="W21" i="8" s="1"/>
  <c r="W14" i="8"/>
  <c r="W13" i="8"/>
  <c r="W12" i="8"/>
  <c r="W11" i="8"/>
  <c r="W8" i="8"/>
  <c r="W7" i="8"/>
  <c r="W6" i="8"/>
  <c r="W5" i="8"/>
  <c r="W23" i="7"/>
  <c r="W22" i="7"/>
  <c r="W21" i="7"/>
  <c r="W29" i="7" s="1"/>
  <c r="W20" i="7"/>
  <c r="W19" i="7"/>
  <c r="W18" i="7"/>
  <c r="W17" i="7"/>
  <c r="W15" i="7"/>
  <c r="W31" i="7" s="1"/>
  <c r="W14" i="7"/>
  <c r="W13" i="7"/>
  <c r="W12" i="7"/>
  <c r="W11" i="7"/>
  <c r="W16" i="7" s="1"/>
  <c r="W9" i="7"/>
  <c r="W30" i="7" s="1"/>
  <c r="W8" i="7"/>
  <c r="W7" i="7"/>
  <c r="W28" i="7" s="1"/>
  <c r="W6" i="7"/>
  <c r="W27" i="7" s="1"/>
  <c r="W5" i="7"/>
  <c r="W26" i="7" s="1"/>
  <c r="W4" i="7"/>
  <c r="W26" i="6"/>
  <c r="W11" i="9" s="1"/>
  <c r="W13" i="9" s="1"/>
  <c r="W14" i="9" s="1"/>
  <c r="W21" i="9" s="1"/>
  <c r="W23" i="6"/>
  <c r="W21" i="6"/>
  <c r="W16" i="6"/>
  <c r="W12" i="6"/>
  <c r="W8" i="6"/>
  <c r="W7" i="6"/>
  <c r="W6" i="6"/>
  <c r="W4" i="6"/>
  <c r="W7" i="4"/>
  <c r="W5" i="4"/>
  <c r="W4" i="4"/>
  <c r="W8" i="4" s="1"/>
  <c r="P48" i="1"/>
  <c r="P50" i="1" s="1"/>
  <c r="P39" i="1"/>
  <c r="P33" i="1"/>
  <c r="P20" i="1"/>
  <c r="V15" i="3"/>
  <c r="U15" i="3"/>
  <c r="T15" i="3"/>
  <c r="S15" i="3"/>
  <c r="R15" i="3"/>
  <c r="P15" i="3"/>
  <c r="O15" i="3"/>
  <c r="L15" i="3"/>
  <c r="K15" i="3"/>
  <c r="J15" i="3"/>
  <c r="I15" i="3"/>
  <c r="H15" i="3"/>
  <c r="G15" i="3"/>
  <c r="F15" i="3"/>
  <c r="E15" i="3"/>
  <c r="D15" i="3"/>
  <c r="C15" i="3"/>
  <c r="B15" i="3"/>
  <c r="W5" i="3"/>
  <c r="V13" i="3"/>
  <c r="V5" i="3" s="1"/>
  <c r="T13" i="3"/>
  <c r="T5" i="3" s="1"/>
  <c r="S13" i="3"/>
  <c r="S5" i="3" s="1"/>
  <c r="Q13" i="3"/>
  <c r="O13" i="3"/>
  <c r="O5" i="3" s="1"/>
  <c r="N13" i="3"/>
  <c r="M13" i="3"/>
  <c r="M5" i="3" s="1"/>
  <c r="L13" i="3"/>
  <c r="L5" i="3" s="1"/>
  <c r="J13" i="3"/>
  <c r="I13" i="3"/>
  <c r="I5" i="3" s="1"/>
  <c r="H13" i="3"/>
  <c r="G13" i="3"/>
  <c r="E13" i="3"/>
  <c r="D13" i="3"/>
  <c r="C13" i="3"/>
  <c r="B13" i="3"/>
  <c r="W15" i="3"/>
  <c r="R13" i="3"/>
  <c r="R5" i="3" s="1"/>
  <c r="W32" i="3"/>
  <c r="W26" i="3"/>
  <c r="W4" i="3"/>
  <c r="W32" i="2"/>
  <c r="S14" i="11"/>
  <c r="S12" i="11"/>
  <c r="S8" i="11"/>
  <c r="S6" i="11"/>
  <c r="S4" i="11"/>
  <c r="W33" i="2"/>
  <c r="W17" i="2"/>
  <c r="W18" i="2" s="1"/>
  <c r="W20" i="2" s="1"/>
  <c r="W22" i="2" s="1"/>
  <c r="W24" i="2" s="1"/>
  <c r="W11" i="2"/>
  <c r="W8" i="2"/>
  <c r="W5" i="2"/>
  <c r="W8" i="5"/>
  <c r="W19" i="5"/>
  <c r="W18" i="5"/>
  <c r="W17" i="5"/>
  <c r="W14" i="5"/>
  <c r="W24" i="7" l="1"/>
  <c r="W22" i="9"/>
  <c r="W37" i="8"/>
  <c r="W28" i="12"/>
  <c r="W18" i="12"/>
  <c r="W17" i="12" s="1"/>
  <c r="W25" i="7"/>
  <c r="W32" i="7" s="1"/>
  <c r="W10" i="7"/>
  <c r="W31" i="6"/>
  <c r="W32" i="6" s="1"/>
  <c r="W22" i="12" s="1"/>
  <c r="P40" i="1"/>
  <c r="P51" i="1" s="1"/>
  <c r="W21" i="3"/>
  <c r="W20" i="5"/>
  <c r="V26" i="12"/>
  <c r="V15" i="12"/>
  <c r="V14" i="12"/>
  <c r="V13" i="12"/>
  <c r="V10" i="12"/>
  <c r="V20" i="12" s="1"/>
  <c r="V9" i="12"/>
  <c r="V8" i="12"/>
  <c r="V11" i="9"/>
  <c r="V10" i="9"/>
  <c r="V9" i="9"/>
  <c r="V7" i="9"/>
  <c r="V13" i="9" s="1"/>
  <c r="V36" i="8"/>
  <c r="V35" i="8"/>
  <c r="V34" i="8"/>
  <c r="V33" i="8"/>
  <c r="V29" i="8"/>
  <c r="V30" i="8" s="1"/>
  <c r="V28" i="8"/>
  <c r="V24" i="8"/>
  <c r="V25" i="8" s="1"/>
  <c r="V20" i="8"/>
  <c r="V19" i="8"/>
  <c r="V18" i="8"/>
  <c r="V17" i="8"/>
  <c r="V13" i="8"/>
  <c r="V12" i="8"/>
  <c r="V11" i="8"/>
  <c r="V7" i="8"/>
  <c r="V6" i="8"/>
  <c r="V5" i="8"/>
  <c r="V23" i="7"/>
  <c r="V22" i="7"/>
  <c r="V21" i="7"/>
  <c r="V29" i="7" s="1"/>
  <c r="V20" i="7"/>
  <c r="V19" i="7"/>
  <c r="V18" i="7"/>
  <c r="V17" i="7"/>
  <c r="V15" i="7"/>
  <c r="V14" i="7"/>
  <c r="V13" i="7"/>
  <c r="V12" i="7"/>
  <c r="V11" i="7"/>
  <c r="V9" i="7"/>
  <c r="V30" i="7" s="1"/>
  <c r="V8" i="7"/>
  <c r="V7" i="7"/>
  <c r="V28" i="7" s="1"/>
  <c r="V6" i="7"/>
  <c r="V5" i="7"/>
  <c r="V4" i="7"/>
  <c r="V26" i="6"/>
  <c r="V23" i="6"/>
  <c r="V21" i="6"/>
  <c r="V16" i="6"/>
  <c r="V12" i="6"/>
  <c r="V8" i="6"/>
  <c r="V7" i="6"/>
  <c r="V6" i="6"/>
  <c r="V7" i="4"/>
  <c r="V5" i="4"/>
  <c r="V32" i="3"/>
  <c r="V26" i="3"/>
  <c r="V29" i="2"/>
  <c r="V18" i="9" s="1"/>
  <c r="V28" i="2"/>
  <c r="V17" i="9" s="1"/>
  <c r="R14" i="11"/>
  <c r="R12" i="11"/>
  <c r="R8" i="11"/>
  <c r="R4" i="11"/>
  <c r="R6" i="11" s="1"/>
  <c r="N4" i="11"/>
  <c r="J4" i="11"/>
  <c r="F4" i="11"/>
  <c r="V17" i="2"/>
  <c r="V8" i="2"/>
  <c r="V5" i="2"/>
  <c r="V11" i="2" s="1"/>
  <c r="V18" i="2" s="1"/>
  <c r="V20" i="2" s="1"/>
  <c r="V22" i="2" s="1"/>
  <c r="V19" i="5"/>
  <c r="V18" i="5"/>
  <c r="V17" i="5"/>
  <c r="V20" i="5" s="1"/>
  <c r="V14" i="5"/>
  <c r="V8" i="5"/>
  <c r="O50" i="1"/>
  <c r="O51" i="1" s="1"/>
  <c r="O48" i="1"/>
  <c r="O40" i="1"/>
  <c r="O39" i="1"/>
  <c r="O33" i="1"/>
  <c r="O20" i="1"/>
  <c r="V7" i="12" l="1"/>
  <c r="V37" i="8"/>
  <c r="V24" i="7"/>
  <c r="V26" i="7"/>
  <c r="V14" i="8"/>
  <c r="V10" i="7"/>
  <c r="V27" i="7"/>
  <c r="V16" i="7"/>
  <c r="V31" i="7"/>
  <c r="V8" i="8"/>
  <c r="V31" i="6"/>
  <c r="V32" i="6" s="1"/>
  <c r="V22" i="12" s="1"/>
  <c r="V5" i="9"/>
  <c r="V14" i="9" s="1"/>
  <c r="V22" i="9" s="1"/>
  <c r="V4" i="6"/>
  <c r="V4" i="3"/>
  <c r="V21" i="3" s="1"/>
  <c r="V24" i="2"/>
  <c r="V32" i="2" s="1"/>
  <c r="V19" i="12"/>
  <c r="V12" i="12"/>
  <c r="V21" i="8"/>
  <c r="V28" i="12"/>
  <c r="V18" i="12"/>
  <c r="V17" i="12" s="1"/>
  <c r="V21" i="9"/>
  <c r="V25" i="7"/>
  <c r="V32" i="7" s="1"/>
  <c r="T8" i="12"/>
  <c r="T9" i="12"/>
  <c r="T10" i="12"/>
  <c r="T13" i="12"/>
  <c r="T14" i="12"/>
  <c r="T15" i="12"/>
  <c r="T26" i="12"/>
  <c r="Q14" i="11"/>
  <c r="P14" i="11"/>
  <c r="O14" i="11"/>
  <c r="N14" i="11"/>
  <c r="M14" i="11"/>
  <c r="L14" i="11"/>
  <c r="K14" i="11"/>
  <c r="J14" i="11"/>
  <c r="I14" i="11"/>
  <c r="H14" i="11"/>
  <c r="G14" i="11"/>
  <c r="F14" i="11"/>
  <c r="E14" i="11"/>
  <c r="D14" i="11"/>
  <c r="C14" i="11"/>
  <c r="B14" i="11"/>
  <c r="C12" i="11"/>
  <c r="D12" i="11"/>
  <c r="E12" i="11"/>
  <c r="F12" i="11"/>
  <c r="G12" i="11"/>
  <c r="H12" i="11"/>
  <c r="I12" i="11"/>
  <c r="J12" i="11"/>
  <c r="K12" i="11"/>
  <c r="L12" i="11"/>
  <c r="M12" i="11"/>
  <c r="N12" i="11"/>
  <c r="O12" i="11"/>
  <c r="P12" i="11"/>
  <c r="Q12" i="11"/>
  <c r="B12" i="11"/>
  <c r="Q4" i="11"/>
  <c r="Q6" i="11" s="1"/>
  <c r="T18" i="9"/>
  <c r="T17" i="9"/>
  <c r="U11" i="9"/>
  <c r="T11" i="9"/>
  <c r="U10" i="9"/>
  <c r="T10" i="9"/>
  <c r="U9" i="9"/>
  <c r="T9" i="9"/>
  <c r="U7" i="9"/>
  <c r="T7" i="9"/>
  <c r="U36" i="8"/>
  <c r="T36" i="8"/>
  <c r="U35" i="8"/>
  <c r="T35" i="8"/>
  <c r="U34" i="8"/>
  <c r="T34" i="8"/>
  <c r="U33" i="8"/>
  <c r="T33" i="8"/>
  <c r="U29" i="8"/>
  <c r="T29" i="8"/>
  <c r="U28" i="8"/>
  <c r="T28" i="8"/>
  <c r="U24" i="8"/>
  <c r="U25" i="8" s="1"/>
  <c r="T24" i="8"/>
  <c r="T25" i="8" s="1"/>
  <c r="U20" i="8"/>
  <c r="T20" i="8"/>
  <c r="U19" i="8"/>
  <c r="T19" i="8"/>
  <c r="U18" i="8"/>
  <c r="T18" i="8"/>
  <c r="U17" i="8"/>
  <c r="T17" i="8"/>
  <c r="U13" i="8"/>
  <c r="T13" i="8"/>
  <c r="U12" i="8"/>
  <c r="U14" i="8" s="1"/>
  <c r="T12" i="8"/>
  <c r="U11" i="8"/>
  <c r="T11" i="8"/>
  <c r="U7" i="8"/>
  <c r="T7" i="8"/>
  <c r="U6" i="8"/>
  <c r="T6" i="8"/>
  <c r="U5" i="8"/>
  <c r="T5" i="8"/>
  <c r="U23" i="7"/>
  <c r="T23" i="7"/>
  <c r="U22" i="7"/>
  <c r="T22" i="7"/>
  <c r="U21" i="7"/>
  <c r="U29" i="7" s="1"/>
  <c r="T21" i="7"/>
  <c r="T29" i="7" s="1"/>
  <c r="U20" i="7"/>
  <c r="T20" i="7"/>
  <c r="U19" i="7"/>
  <c r="T19" i="7"/>
  <c r="U18" i="7"/>
  <c r="T18" i="7"/>
  <c r="U17" i="7"/>
  <c r="T17" i="7"/>
  <c r="U15" i="7"/>
  <c r="T15" i="7"/>
  <c r="U14" i="7"/>
  <c r="T14" i="7"/>
  <c r="U13" i="7"/>
  <c r="T13" i="7"/>
  <c r="U12" i="7"/>
  <c r="T12" i="7"/>
  <c r="U11" i="7"/>
  <c r="T11" i="7"/>
  <c r="U9" i="7"/>
  <c r="U30" i="7" s="1"/>
  <c r="T9" i="7"/>
  <c r="T30" i="7" s="1"/>
  <c r="U8" i="7"/>
  <c r="T8" i="7"/>
  <c r="U7" i="7"/>
  <c r="T7" i="7"/>
  <c r="U6" i="7"/>
  <c r="U27" i="7" s="1"/>
  <c r="T6" i="7"/>
  <c r="U5" i="7"/>
  <c r="T5" i="7"/>
  <c r="U4" i="7"/>
  <c r="T4" i="7"/>
  <c r="U26" i="6"/>
  <c r="T26" i="6"/>
  <c r="U30" i="6"/>
  <c r="U29" i="6"/>
  <c r="U28" i="6"/>
  <c r="U27" i="6"/>
  <c r="U23" i="6"/>
  <c r="T23" i="6"/>
  <c r="U22" i="6"/>
  <c r="U21" i="6"/>
  <c r="T21" i="6"/>
  <c r="U16" i="6"/>
  <c r="T16" i="6"/>
  <c r="U12" i="6"/>
  <c r="T12" i="6"/>
  <c r="U8" i="6"/>
  <c r="T8" i="6"/>
  <c r="U7" i="6"/>
  <c r="T7" i="6"/>
  <c r="U6" i="6"/>
  <c r="T6" i="6"/>
  <c r="T7" i="4"/>
  <c r="T5" i="4"/>
  <c r="U17" i="2"/>
  <c r="T17" i="2"/>
  <c r="U8" i="2"/>
  <c r="T8" i="2"/>
  <c r="U5" i="2"/>
  <c r="T5" i="2"/>
  <c r="T11" i="2" s="1"/>
  <c r="T18" i="2" s="1"/>
  <c r="T20" i="2" s="1"/>
  <c r="T22" i="2" s="1"/>
  <c r="U19" i="5"/>
  <c r="T19" i="5"/>
  <c r="U18" i="5"/>
  <c r="T18" i="5"/>
  <c r="U17" i="5"/>
  <c r="U20" i="5" s="1"/>
  <c r="T17" i="5"/>
  <c r="T20" i="5" s="1"/>
  <c r="U14" i="5"/>
  <c r="T14" i="5"/>
  <c r="U8" i="5"/>
  <c r="T8" i="5"/>
  <c r="U31" i="3"/>
  <c r="U22" i="3"/>
  <c r="U5" i="4" s="1"/>
  <c r="U27" i="3"/>
  <c r="U29" i="3"/>
  <c r="U28" i="3"/>
  <c r="U25" i="3"/>
  <c r="U24" i="3"/>
  <c r="U23" i="3"/>
  <c r="U7" i="4" s="1"/>
  <c r="K12" i="3"/>
  <c r="K13" i="3" s="1"/>
  <c r="K5" i="3" s="1"/>
  <c r="U12" i="3"/>
  <c r="U13" i="3" s="1"/>
  <c r="U5" i="3" s="1"/>
  <c r="P12" i="3"/>
  <c r="P13" i="3" s="1"/>
  <c r="P5" i="3" s="1"/>
  <c r="F12" i="3"/>
  <c r="F13" i="3" s="1"/>
  <c r="S32" i="3"/>
  <c r="R32" i="3"/>
  <c r="P32" i="3"/>
  <c r="O32" i="3"/>
  <c r="N32" i="3"/>
  <c r="M32" i="3"/>
  <c r="L32" i="3"/>
  <c r="K32" i="3"/>
  <c r="J32" i="3"/>
  <c r="I32" i="3"/>
  <c r="H32" i="3"/>
  <c r="F32" i="3"/>
  <c r="E32" i="3"/>
  <c r="D32" i="3"/>
  <c r="C32" i="3"/>
  <c r="B32" i="3"/>
  <c r="T32" i="3"/>
  <c r="T26" i="3"/>
  <c r="N51" i="1"/>
  <c r="N50" i="1"/>
  <c r="N48" i="1"/>
  <c r="U31" i="6" l="1"/>
  <c r="T26" i="7"/>
  <c r="T28" i="7"/>
  <c r="T24" i="7"/>
  <c r="T8" i="8"/>
  <c r="T14" i="8"/>
  <c r="T30" i="8"/>
  <c r="T37" i="8"/>
  <c r="T13" i="9"/>
  <c r="U30" i="8"/>
  <c r="U37" i="8"/>
  <c r="U13" i="9"/>
  <c r="U26" i="3"/>
  <c r="V24" i="12"/>
  <c r="V4" i="4"/>
  <c r="V8" i="4" s="1"/>
  <c r="V33" i="2"/>
  <c r="T19" i="12"/>
  <c r="T12" i="12"/>
  <c r="T20" i="12"/>
  <c r="T21" i="8"/>
  <c r="U21" i="8"/>
  <c r="U10" i="7"/>
  <c r="U16" i="7"/>
  <c r="T10" i="7"/>
  <c r="T31" i="6"/>
  <c r="U26" i="7"/>
  <c r="U28" i="7"/>
  <c r="U24" i="7"/>
  <c r="U8" i="8"/>
  <c r="U31" i="7"/>
  <c r="T27" i="7"/>
  <c r="T31" i="7"/>
  <c r="U28" i="2"/>
  <c r="U17" i="9" s="1"/>
  <c r="Q8" i="11"/>
  <c r="U29" i="2" s="1"/>
  <c r="U18" i="9" s="1"/>
  <c r="T25" i="7"/>
  <c r="T32" i="7" s="1"/>
  <c r="U11" i="2"/>
  <c r="U18" i="2" s="1"/>
  <c r="U20" i="2" s="1"/>
  <c r="U22" i="2" s="1"/>
  <c r="U5" i="9" s="1"/>
  <c r="T4" i="6"/>
  <c r="T4" i="3"/>
  <c r="T21" i="3" s="1"/>
  <c r="T24" i="2"/>
  <c r="T5" i="9"/>
  <c r="T14" i="9" s="1"/>
  <c r="T32" i="6"/>
  <c r="T22" i="12" s="1"/>
  <c r="T18" i="12"/>
  <c r="T7" i="12"/>
  <c r="T28" i="12" s="1"/>
  <c r="U25" i="7"/>
  <c r="T16" i="7"/>
  <c r="N39" i="1"/>
  <c r="N40" i="1" s="1"/>
  <c r="N33" i="1"/>
  <c r="N20" i="1"/>
  <c r="T17" i="12" l="1"/>
  <c r="U32" i="7"/>
  <c r="U14" i="9"/>
  <c r="U21" i="9" s="1"/>
  <c r="U24" i="2"/>
  <c r="U4" i="6"/>
  <c r="U32" i="6" s="1"/>
  <c r="U4" i="3"/>
  <c r="T22" i="9"/>
  <c r="T21" i="9"/>
  <c r="U22" i="9"/>
  <c r="U33" i="2"/>
  <c r="U32" i="2"/>
  <c r="T32" i="2"/>
  <c r="T33" i="2"/>
  <c r="T4" i="4"/>
  <c r="T8" i="4" s="1"/>
  <c r="T24" i="12"/>
  <c r="S8" i="12"/>
  <c r="S9" i="12"/>
  <c r="S10" i="12"/>
  <c r="S13" i="12"/>
  <c r="S14" i="12"/>
  <c r="S15" i="12"/>
  <c r="S26" i="12"/>
  <c r="S18" i="9"/>
  <c r="S17" i="9"/>
  <c r="S7" i="9"/>
  <c r="S5" i="8"/>
  <c r="S6" i="8"/>
  <c r="S7" i="8"/>
  <c r="S11" i="8"/>
  <c r="S12" i="8"/>
  <c r="S13" i="8"/>
  <c r="S17" i="8"/>
  <c r="S18" i="8"/>
  <c r="S19" i="8"/>
  <c r="S20" i="8"/>
  <c r="S24" i="8"/>
  <c r="S25" i="8" s="1"/>
  <c r="S28" i="8"/>
  <c r="S29" i="8"/>
  <c r="S33" i="8"/>
  <c r="S34" i="8"/>
  <c r="S35" i="8"/>
  <c r="S36" i="8"/>
  <c r="S23" i="7"/>
  <c r="S22" i="7"/>
  <c r="S21" i="7"/>
  <c r="S29" i="7" s="1"/>
  <c r="S20" i="7"/>
  <c r="S19" i="7"/>
  <c r="S18" i="7"/>
  <c r="S17" i="7"/>
  <c r="S15" i="7"/>
  <c r="S14" i="7"/>
  <c r="S13" i="7"/>
  <c r="S12" i="7"/>
  <c r="S11" i="7"/>
  <c r="S9" i="7"/>
  <c r="S30" i="7" s="1"/>
  <c r="S8" i="7"/>
  <c r="S7" i="7"/>
  <c r="S6" i="7"/>
  <c r="S5" i="7"/>
  <c r="S4" i="7"/>
  <c r="S26" i="6"/>
  <c r="S11" i="9" s="1"/>
  <c r="S23" i="6"/>
  <c r="S10" i="9" s="1"/>
  <c r="S21" i="6"/>
  <c r="S9" i="9" s="1"/>
  <c r="S16" i="6"/>
  <c r="S12" i="6"/>
  <c r="S8" i="6"/>
  <c r="S7" i="6"/>
  <c r="S6" i="6"/>
  <c r="S7" i="4"/>
  <c r="S5" i="4"/>
  <c r="S26" i="3"/>
  <c r="S17" i="2"/>
  <c r="S5" i="2"/>
  <c r="S17" i="5"/>
  <c r="S20" i="5" s="1"/>
  <c r="S18" i="5"/>
  <c r="S19" i="5"/>
  <c r="S14" i="5"/>
  <c r="S8" i="2" s="1"/>
  <c r="S8" i="5"/>
  <c r="M48" i="1"/>
  <c r="M50" i="1" s="1"/>
  <c r="M40" i="1"/>
  <c r="M39" i="1"/>
  <c r="M33" i="1"/>
  <c r="M20" i="1"/>
  <c r="U21" i="3" l="1"/>
  <c r="U4" i="4" s="1"/>
  <c r="U8" i="4" s="1"/>
  <c r="S18" i="12"/>
  <c r="S8" i="8"/>
  <c r="S19" i="12"/>
  <c r="S31" i="6"/>
  <c r="S14" i="8"/>
  <c r="S26" i="7"/>
  <c r="S27" i="7"/>
  <c r="S31" i="7"/>
  <c r="S28" i="7"/>
  <c r="S24" i="7"/>
  <c r="S20" i="12"/>
  <c r="S16" i="7"/>
  <c r="S11" i="2"/>
  <c r="S18" i="2" s="1"/>
  <c r="S20" i="2" s="1"/>
  <c r="S22" i="2" s="1"/>
  <c r="S5" i="9" s="1"/>
  <c r="S13" i="9"/>
  <c r="S17" i="12"/>
  <c r="S10" i="7"/>
  <c r="S37" i="8"/>
  <c r="S21" i="8"/>
  <c r="S7" i="12"/>
  <c r="S28" i="12" s="1"/>
  <c r="S25" i="7"/>
  <c r="S30" i="8"/>
  <c r="S12" i="12"/>
  <c r="S14" i="9" l="1"/>
  <c r="S21" i="9" s="1"/>
  <c r="S32" i="7"/>
  <c r="S4" i="3"/>
  <c r="S24" i="2"/>
  <c r="S33" i="2" s="1"/>
  <c r="S4" i="6"/>
  <c r="S32" i="6" s="1"/>
  <c r="S22" i="12" s="1"/>
  <c r="R8" i="12"/>
  <c r="R9" i="12"/>
  <c r="R10" i="12"/>
  <c r="R13" i="12"/>
  <c r="R14" i="12"/>
  <c r="R15" i="12"/>
  <c r="R26" i="12"/>
  <c r="R17" i="9"/>
  <c r="R18" i="9"/>
  <c r="R5" i="8"/>
  <c r="R6" i="8"/>
  <c r="R7" i="8"/>
  <c r="R11" i="8"/>
  <c r="R12" i="8"/>
  <c r="R13" i="8"/>
  <c r="R17" i="8"/>
  <c r="R18" i="8"/>
  <c r="R19" i="8"/>
  <c r="R20" i="8"/>
  <c r="R24" i="8"/>
  <c r="R25" i="8" s="1"/>
  <c r="R28" i="8"/>
  <c r="R29" i="8"/>
  <c r="R33" i="8"/>
  <c r="R34" i="8"/>
  <c r="R35" i="8"/>
  <c r="R36" i="8"/>
  <c r="R17" i="5"/>
  <c r="R20" i="5" s="1"/>
  <c r="R18" i="5"/>
  <c r="R19" i="5"/>
  <c r="R14" i="5"/>
  <c r="R8" i="2" s="1"/>
  <c r="R8" i="5"/>
  <c r="R5" i="2" s="1"/>
  <c r="R4" i="7"/>
  <c r="R5" i="7"/>
  <c r="R6" i="7"/>
  <c r="R7" i="7"/>
  <c r="R8" i="7"/>
  <c r="R9" i="7"/>
  <c r="R11" i="7"/>
  <c r="R12" i="7"/>
  <c r="R13" i="7"/>
  <c r="R14" i="7"/>
  <c r="R15" i="7"/>
  <c r="R17" i="7"/>
  <c r="R18" i="7"/>
  <c r="R19" i="7"/>
  <c r="R20" i="7"/>
  <c r="R21" i="7"/>
  <c r="R29" i="7" s="1"/>
  <c r="R22" i="7"/>
  <c r="R23" i="7"/>
  <c r="R30" i="7" s="1"/>
  <c r="R26" i="6"/>
  <c r="R11" i="9" s="1"/>
  <c r="R23" i="6"/>
  <c r="R10" i="9" s="1"/>
  <c r="R21" i="6"/>
  <c r="R9" i="9" s="1"/>
  <c r="R16" i="6"/>
  <c r="R12" i="6"/>
  <c r="R6" i="6"/>
  <c r="R7" i="6"/>
  <c r="R8" i="6"/>
  <c r="R7" i="9" s="1"/>
  <c r="R5" i="4"/>
  <c r="R7" i="4"/>
  <c r="R26" i="3"/>
  <c r="R17" i="2"/>
  <c r="L48" i="1"/>
  <c r="L50" i="1" s="1"/>
  <c r="L39" i="1"/>
  <c r="L40" i="1"/>
  <c r="L33" i="1"/>
  <c r="L20" i="1"/>
  <c r="R31" i="7" l="1"/>
  <c r="S21" i="3"/>
  <c r="S24" i="12" s="1"/>
  <c r="S32" i="2"/>
  <c r="R11" i="2"/>
  <c r="R18" i="2" s="1"/>
  <c r="R20" i="2" s="1"/>
  <c r="R22" i="2" s="1"/>
  <c r="R5" i="9" s="1"/>
  <c r="S22" i="9"/>
  <c r="R26" i="7"/>
  <c r="R16" i="7"/>
  <c r="R27" i="7"/>
  <c r="R8" i="8"/>
  <c r="R18" i="12"/>
  <c r="L51" i="1"/>
  <c r="R19" i="12"/>
  <c r="R14" i="8"/>
  <c r="R20" i="12"/>
  <c r="R13" i="9"/>
  <c r="R31" i="6"/>
  <c r="R21" i="8"/>
  <c r="R7" i="12"/>
  <c r="R28" i="12" s="1"/>
  <c r="R24" i="7"/>
  <c r="R30" i="8"/>
  <c r="R12" i="12"/>
  <c r="R28" i="7"/>
  <c r="R37" i="8"/>
  <c r="R4" i="6"/>
  <c r="R10" i="7"/>
  <c r="R25" i="7"/>
  <c r="S4" i="4" l="1"/>
  <c r="S8" i="4" s="1"/>
  <c r="R4" i="3"/>
  <c r="R14" i="9"/>
  <c r="R21" i="9" s="1"/>
  <c r="R24" i="2"/>
  <c r="R32" i="2" s="1"/>
  <c r="R32" i="7"/>
  <c r="R17" i="12"/>
  <c r="R22" i="9"/>
  <c r="R32" i="6"/>
  <c r="R22" i="12" s="1"/>
  <c r="R33" i="2"/>
  <c r="R21" i="3" l="1"/>
  <c r="R24" i="12" s="1"/>
  <c r="G23" i="6"/>
  <c r="F23" i="6"/>
  <c r="E23" i="6"/>
  <c r="D23" i="6"/>
  <c r="C23" i="6"/>
  <c r="B23" i="6"/>
  <c r="R4" i="4" l="1"/>
  <c r="R8" i="4" s="1"/>
  <c r="F35" i="3"/>
  <c r="N5" i="8" l="1"/>
  <c r="O5" i="8"/>
  <c r="N33" i="2" l="1"/>
  <c r="I33" i="2"/>
  <c r="N32" i="2"/>
  <c r="I32" i="2"/>
  <c r="O4" i="11" l="1"/>
  <c r="L4" i="11"/>
  <c r="I4" i="11"/>
  <c r="E4" i="11"/>
  <c r="D4" i="11"/>
  <c r="C4" i="11"/>
  <c r="D9" i="3"/>
  <c r="D5" i="3" s="1"/>
  <c r="E20" i="1"/>
  <c r="C9" i="3"/>
  <c r="C5" i="3" s="1"/>
  <c r="D20" i="1"/>
  <c r="F9" i="3"/>
  <c r="F5" i="3" s="1"/>
  <c r="J9" i="3"/>
  <c r="J5" i="3" s="1"/>
  <c r="E9" i="3"/>
  <c r="E5" i="3" s="1"/>
  <c r="F22" i="2"/>
  <c r="F24" i="2" s="1"/>
  <c r="F17" i="2"/>
  <c r="F36" i="8"/>
  <c r="E36" i="8"/>
  <c r="D36" i="8"/>
  <c r="C36" i="8"/>
  <c r="B36" i="8"/>
  <c r="F35" i="8"/>
  <c r="E35" i="8"/>
  <c r="D35" i="8"/>
  <c r="C35" i="8"/>
  <c r="B35" i="8"/>
  <c r="F34" i="8"/>
  <c r="E34" i="8"/>
  <c r="D34" i="8"/>
  <c r="C34" i="8"/>
  <c r="B34" i="8"/>
  <c r="F33" i="8"/>
  <c r="E33" i="8"/>
  <c r="D33" i="8"/>
  <c r="C33" i="8"/>
  <c r="B33" i="8"/>
  <c r="F29" i="8"/>
  <c r="E29" i="8"/>
  <c r="D29" i="8"/>
  <c r="C29" i="8"/>
  <c r="B29" i="8"/>
  <c r="F28" i="8"/>
  <c r="E28" i="8"/>
  <c r="D28" i="8"/>
  <c r="C28" i="8"/>
  <c r="B28" i="8"/>
  <c r="F26" i="6"/>
  <c r="E26" i="6"/>
  <c r="D26" i="6"/>
  <c r="C26" i="6"/>
  <c r="B26" i="6"/>
  <c r="F21" i="6"/>
  <c r="E21" i="6"/>
  <c r="D21" i="6"/>
  <c r="C21" i="6"/>
  <c r="B21" i="6"/>
  <c r="F16" i="6"/>
  <c r="E16" i="6"/>
  <c r="D16" i="6"/>
  <c r="C16" i="6"/>
  <c r="B16" i="6"/>
  <c r="F12" i="6"/>
  <c r="E12" i="6"/>
  <c r="D12" i="6"/>
  <c r="C12" i="6"/>
  <c r="B12" i="6"/>
  <c r="F8" i="6"/>
  <c r="E8" i="6"/>
  <c r="D8" i="6"/>
  <c r="C8" i="6"/>
  <c r="B8" i="6"/>
  <c r="G9" i="3"/>
  <c r="B9" i="3"/>
  <c r="B5" i="3" s="1"/>
  <c r="E48" i="1"/>
  <c r="E50" i="1" s="1"/>
  <c r="D48" i="1"/>
  <c r="D50" i="1" s="1"/>
  <c r="C48" i="1"/>
  <c r="C50" i="1" s="1"/>
  <c r="B48" i="1"/>
  <c r="B50" i="1" s="1"/>
  <c r="J33" i="1"/>
  <c r="I33" i="1"/>
  <c r="F33" i="1"/>
  <c r="E33" i="1"/>
  <c r="D33" i="1"/>
  <c r="C33" i="1"/>
  <c r="B33" i="1"/>
  <c r="C20" i="1"/>
  <c r="E39" i="1"/>
  <c r="D39" i="1"/>
  <c r="C39" i="1"/>
  <c r="B39" i="1"/>
  <c r="B20" i="1"/>
  <c r="O6" i="11" l="1"/>
  <c r="O8" i="11" s="1"/>
  <c r="P4" i="11"/>
  <c r="P6" i="11" s="1"/>
  <c r="P8" i="11" s="1"/>
  <c r="B30" i="8"/>
  <c r="F30" i="8"/>
  <c r="B40" i="1"/>
  <c r="B51" i="1" s="1"/>
  <c r="C37" i="8"/>
  <c r="D30" i="8"/>
  <c r="E37" i="8"/>
  <c r="D37" i="8"/>
  <c r="B37" i="8"/>
  <c r="F37" i="8"/>
  <c r="C30" i="8"/>
  <c r="G4" i="11"/>
  <c r="G6" i="11" s="1"/>
  <c r="G8" i="11" s="1"/>
  <c r="K4" i="11"/>
  <c r="H4" i="11"/>
  <c r="H6" i="11" s="1"/>
  <c r="H8" i="11" s="1"/>
  <c r="M4" i="11"/>
  <c r="E40" i="1"/>
  <c r="E51" i="1" s="1"/>
  <c r="D40" i="1"/>
  <c r="D51" i="1" s="1"/>
  <c r="E30" i="8"/>
  <c r="C40" i="1"/>
  <c r="C51" i="1" s="1"/>
  <c r="P26" i="3"/>
  <c r="O26" i="3"/>
  <c r="N26" i="3"/>
  <c r="M26" i="3"/>
  <c r="L26" i="3"/>
  <c r="K26" i="3"/>
  <c r="J26" i="3"/>
  <c r="I26" i="3"/>
  <c r="H26" i="3"/>
  <c r="G26" i="3"/>
  <c r="F26" i="3"/>
  <c r="E26" i="3"/>
  <c r="D26" i="3"/>
  <c r="C26" i="3"/>
  <c r="B26" i="3"/>
  <c r="N4" i="3"/>
  <c r="I4" i="3"/>
  <c r="I21" i="3" s="1"/>
  <c r="F4" i="3"/>
  <c r="F21" i="3" s="1"/>
  <c r="P7" i="4"/>
  <c r="O7" i="4"/>
  <c r="N7" i="4"/>
  <c r="M7" i="4"/>
  <c r="L7" i="4"/>
  <c r="K7" i="4"/>
  <c r="J7" i="4"/>
  <c r="I7" i="4"/>
  <c r="H7" i="4"/>
  <c r="G7" i="4"/>
  <c r="F7" i="4"/>
  <c r="E7" i="4"/>
  <c r="D7" i="4"/>
  <c r="C7" i="4"/>
  <c r="B7" i="4"/>
  <c r="Q7" i="4"/>
  <c r="P5" i="4"/>
  <c r="O5" i="4"/>
  <c r="N5" i="4"/>
  <c r="M5" i="4"/>
  <c r="L5" i="4"/>
  <c r="K5" i="4"/>
  <c r="J5" i="4"/>
  <c r="I5" i="4"/>
  <c r="H5" i="4"/>
  <c r="G5" i="4"/>
  <c r="F5" i="4"/>
  <c r="E5" i="4"/>
  <c r="D5" i="4"/>
  <c r="C5" i="4"/>
  <c r="B5" i="4"/>
  <c r="Q5" i="4"/>
  <c r="P7" i="6"/>
  <c r="O7" i="6"/>
  <c r="N7" i="6"/>
  <c r="M7" i="6"/>
  <c r="L7" i="6"/>
  <c r="K7" i="6"/>
  <c r="J7" i="6"/>
  <c r="I7" i="6"/>
  <c r="H7" i="6"/>
  <c r="G7" i="6"/>
  <c r="F7" i="6"/>
  <c r="E7" i="6"/>
  <c r="D7" i="6"/>
  <c r="C7" i="6"/>
  <c r="B7" i="6"/>
  <c r="Q7" i="6"/>
  <c r="P6" i="6"/>
  <c r="O6" i="6"/>
  <c r="N6" i="6"/>
  <c r="M6" i="6"/>
  <c r="L6" i="6"/>
  <c r="K6" i="6"/>
  <c r="J6" i="6"/>
  <c r="I6" i="6"/>
  <c r="H6" i="6"/>
  <c r="G6" i="6"/>
  <c r="F6" i="6"/>
  <c r="F31" i="6" s="1"/>
  <c r="E6" i="6"/>
  <c r="E31" i="6" s="1"/>
  <c r="D6" i="6"/>
  <c r="D31" i="6" s="1"/>
  <c r="C6" i="6"/>
  <c r="C31" i="6" s="1"/>
  <c r="B6" i="6"/>
  <c r="B31" i="6" s="1"/>
  <c r="Q6" i="6"/>
  <c r="N4" i="6"/>
  <c r="I4" i="6"/>
  <c r="F4" i="6"/>
  <c r="F32" i="6" s="1"/>
  <c r="P23" i="7"/>
  <c r="O23" i="7"/>
  <c r="N23" i="7"/>
  <c r="M23" i="7"/>
  <c r="L23" i="7"/>
  <c r="K23" i="7"/>
  <c r="J23" i="7"/>
  <c r="I23" i="7"/>
  <c r="H23" i="7"/>
  <c r="G23" i="7"/>
  <c r="F23" i="7"/>
  <c r="E23" i="7"/>
  <c r="D23" i="7"/>
  <c r="C23" i="7"/>
  <c r="B23" i="7"/>
  <c r="P22" i="7"/>
  <c r="O22" i="7"/>
  <c r="N22" i="7"/>
  <c r="M22" i="7"/>
  <c r="L22" i="7"/>
  <c r="K22" i="7"/>
  <c r="J22" i="7"/>
  <c r="I22" i="7"/>
  <c r="H22" i="7"/>
  <c r="G22" i="7"/>
  <c r="F22" i="7"/>
  <c r="E22" i="7"/>
  <c r="D22" i="7"/>
  <c r="C22" i="7"/>
  <c r="B22" i="7"/>
  <c r="P21" i="7"/>
  <c r="P29" i="7" s="1"/>
  <c r="O21" i="7"/>
  <c r="O29" i="7" s="1"/>
  <c r="N21" i="7"/>
  <c r="N29" i="7" s="1"/>
  <c r="M21" i="7"/>
  <c r="M29" i="7" s="1"/>
  <c r="L21" i="7"/>
  <c r="L29" i="7" s="1"/>
  <c r="K21" i="7"/>
  <c r="K29" i="7" s="1"/>
  <c r="J21" i="7"/>
  <c r="J29" i="7" s="1"/>
  <c r="I21" i="7"/>
  <c r="I29" i="7" s="1"/>
  <c r="H21" i="7"/>
  <c r="H29" i="7" s="1"/>
  <c r="G21" i="7"/>
  <c r="G29" i="7" s="1"/>
  <c r="F21" i="7"/>
  <c r="F29" i="7" s="1"/>
  <c r="E21" i="7"/>
  <c r="E29" i="7" s="1"/>
  <c r="D21" i="7"/>
  <c r="D29" i="7" s="1"/>
  <c r="C21" i="7"/>
  <c r="C29" i="7" s="1"/>
  <c r="B21" i="7"/>
  <c r="B29" i="7" s="1"/>
  <c r="P20" i="7"/>
  <c r="O20" i="7"/>
  <c r="N20" i="7"/>
  <c r="M20" i="7"/>
  <c r="L20" i="7"/>
  <c r="K20" i="7"/>
  <c r="J20" i="7"/>
  <c r="I20" i="7"/>
  <c r="H20" i="7"/>
  <c r="G20" i="7"/>
  <c r="F20" i="7"/>
  <c r="E20" i="7"/>
  <c r="D20" i="7"/>
  <c r="C20" i="7"/>
  <c r="B20" i="7"/>
  <c r="P19" i="7"/>
  <c r="O19" i="7"/>
  <c r="N19" i="7"/>
  <c r="M19" i="7"/>
  <c r="L19" i="7"/>
  <c r="K19" i="7"/>
  <c r="J19" i="7"/>
  <c r="I19" i="7"/>
  <c r="H19" i="7"/>
  <c r="G19" i="7"/>
  <c r="F19" i="7"/>
  <c r="E19" i="7"/>
  <c r="D19" i="7"/>
  <c r="C19" i="7"/>
  <c r="B19" i="7"/>
  <c r="P18" i="7"/>
  <c r="O18" i="7"/>
  <c r="N18" i="7"/>
  <c r="M18" i="7"/>
  <c r="L18" i="7"/>
  <c r="K18" i="7"/>
  <c r="J18" i="7"/>
  <c r="I18" i="7"/>
  <c r="H18" i="7"/>
  <c r="G18" i="7"/>
  <c r="F18" i="7"/>
  <c r="E18" i="7"/>
  <c r="D18" i="7"/>
  <c r="C18" i="7"/>
  <c r="B18" i="7"/>
  <c r="P17" i="7"/>
  <c r="O17" i="7"/>
  <c r="N17" i="7"/>
  <c r="M17" i="7"/>
  <c r="L17" i="7"/>
  <c r="K17" i="7"/>
  <c r="J17" i="7"/>
  <c r="I17" i="7"/>
  <c r="H17" i="7"/>
  <c r="G17" i="7"/>
  <c r="F17" i="7"/>
  <c r="E17" i="7"/>
  <c r="D17" i="7"/>
  <c r="C17" i="7"/>
  <c r="B17" i="7"/>
  <c r="Q23" i="7"/>
  <c r="Q22" i="7"/>
  <c r="Q21" i="7"/>
  <c r="Q20" i="7"/>
  <c r="Q19" i="7"/>
  <c r="Q18" i="7"/>
  <c r="P15" i="7"/>
  <c r="O15" i="7"/>
  <c r="N15" i="7"/>
  <c r="M15" i="7"/>
  <c r="L15" i="7"/>
  <c r="K15" i="7"/>
  <c r="J15" i="7"/>
  <c r="I15" i="7"/>
  <c r="H15" i="7"/>
  <c r="G15" i="7"/>
  <c r="F15" i="7"/>
  <c r="E15" i="7"/>
  <c r="D15" i="7"/>
  <c r="C15" i="7"/>
  <c r="B15" i="7"/>
  <c r="P14" i="7"/>
  <c r="O14" i="7"/>
  <c r="N14" i="7"/>
  <c r="M14" i="7"/>
  <c r="L14" i="7"/>
  <c r="K14" i="7"/>
  <c r="J14" i="7"/>
  <c r="I14" i="7"/>
  <c r="H14" i="7"/>
  <c r="G14" i="7"/>
  <c r="F14" i="7"/>
  <c r="E14" i="7"/>
  <c r="D14" i="7"/>
  <c r="C14" i="7"/>
  <c r="B14" i="7"/>
  <c r="P13" i="7"/>
  <c r="O13" i="7"/>
  <c r="N13" i="7"/>
  <c r="M13" i="7"/>
  <c r="L13" i="7"/>
  <c r="K13" i="7"/>
  <c r="J13" i="7"/>
  <c r="I13" i="7"/>
  <c r="H13" i="7"/>
  <c r="G13" i="7"/>
  <c r="F13" i="7"/>
  <c r="E13" i="7"/>
  <c r="D13" i="7"/>
  <c r="C13" i="7"/>
  <c r="B13" i="7"/>
  <c r="P12" i="7"/>
  <c r="O12" i="7"/>
  <c r="N12" i="7"/>
  <c r="M12" i="7"/>
  <c r="L12" i="7"/>
  <c r="K12" i="7"/>
  <c r="J12" i="7"/>
  <c r="I12" i="7"/>
  <c r="H12" i="7"/>
  <c r="G12" i="7"/>
  <c r="F12" i="7"/>
  <c r="E12" i="7"/>
  <c r="D12" i="7"/>
  <c r="C12" i="7"/>
  <c r="B12" i="7"/>
  <c r="P11" i="7"/>
  <c r="O11" i="7"/>
  <c r="N11" i="7"/>
  <c r="M11" i="7"/>
  <c r="L11" i="7"/>
  <c r="K11" i="7"/>
  <c r="J11" i="7"/>
  <c r="I11" i="7"/>
  <c r="H11" i="7"/>
  <c r="G11" i="7"/>
  <c r="F11" i="7"/>
  <c r="E11" i="7"/>
  <c r="D11" i="7"/>
  <c r="C11" i="7"/>
  <c r="B11" i="7"/>
  <c r="Q15" i="7"/>
  <c r="Q14" i="7"/>
  <c r="Q13" i="7"/>
  <c r="Q12" i="7"/>
  <c r="Q11" i="7"/>
  <c r="P9" i="7"/>
  <c r="O9" i="7"/>
  <c r="N9" i="7"/>
  <c r="M9" i="7"/>
  <c r="L9" i="7"/>
  <c r="K9" i="7"/>
  <c r="J9" i="7"/>
  <c r="I9" i="7"/>
  <c r="H9" i="7"/>
  <c r="G9" i="7"/>
  <c r="F9" i="7"/>
  <c r="E9" i="7"/>
  <c r="D9" i="7"/>
  <c r="C9" i="7"/>
  <c r="B9" i="7"/>
  <c r="P8" i="7"/>
  <c r="O8" i="7"/>
  <c r="N8" i="7"/>
  <c r="M8" i="7"/>
  <c r="L8" i="7"/>
  <c r="K8" i="7"/>
  <c r="J8" i="7"/>
  <c r="I8" i="7"/>
  <c r="H8" i="7"/>
  <c r="G8" i="7"/>
  <c r="F8" i="7"/>
  <c r="E8" i="7"/>
  <c r="D8" i="7"/>
  <c r="C8" i="7"/>
  <c r="B8" i="7"/>
  <c r="P7" i="7"/>
  <c r="O7" i="7"/>
  <c r="N7" i="7"/>
  <c r="M7" i="7"/>
  <c r="L7" i="7"/>
  <c r="K7" i="7"/>
  <c r="J7" i="7"/>
  <c r="I7" i="7"/>
  <c r="H7" i="7"/>
  <c r="G7" i="7"/>
  <c r="F7" i="7"/>
  <c r="E7" i="7"/>
  <c r="D7" i="7"/>
  <c r="C7" i="7"/>
  <c r="B7" i="7"/>
  <c r="P6" i="7"/>
  <c r="O6" i="7"/>
  <c r="N6" i="7"/>
  <c r="M6" i="7"/>
  <c r="L6" i="7"/>
  <c r="K6" i="7"/>
  <c r="J6" i="7"/>
  <c r="I6" i="7"/>
  <c r="H6" i="7"/>
  <c r="G6" i="7"/>
  <c r="F6" i="7"/>
  <c r="E6" i="7"/>
  <c r="D6" i="7"/>
  <c r="C6" i="7"/>
  <c r="B6" i="7"/>
  <c r="P5" i="7"/>
  <c r="O5" i="7"/>
  <c r="N5" i="7"/>
  <c r="M5" i="7"/>
  <c r="L5" i="7"/>
  <c r="K5" i="7"/>
  <c r="J5" i="7"/>
  <c r="I5" i="7"/>
  <c r="H5" i="7"/>
  <c r="G5" i="7"/>
  <c r="F5" i="7"/>
  <c r="E5" i="7"/>
  <c r="D5" i="7"/>
  <c r="C5" i="7"/>
  <c r="B5" i="7"/>
  <c r="P4" i="7"/>
  <c r="O4" i="7"/>
  <c r="N4" i="7"/>
  <c r="M4" i="7"/>
  <c r="L4" i="7"/>
  <c r="K4" i="7"/>
  <c r="J4" i="7"/>
  <c r="I4" i="7"/>
  <c r="H4" i="7"/>
  <c r="G4" i="7"/>
  <c r="F4" i="7"/>
  <c r="E4" i="7"/>
  <c r="D4" i="7"/>
  <c r="C4" i="7"/>
  <c r="B4" i="7"/>
  <c r="Q9" i="7"/>
  <c r="Q30" i="7" s="1"/>
  <c r="Q8" i="7"/>
  <c r="Q7" i="7"/>
  <c r="Q6" i="7"/>
  <c r="Q5" i="7"/>
  <c r="Q4" i="7"/>
  <c r="P36" i="8"/>
  <c r="O36" i="8"/>
  <c r="N36" i="8"/>
  <c r="M36" i="8"/>
  <c r="L36" i="8"/>
  <c r="K36" i="8"/>
  <c r="J36" i="8"/>
  <c r="I36" i="8"/>
  <c r="H36" i="8"/>
  <c r="G36" i="8"/>
  <c r="P35" i="8"/>
  <c r="O35" i="8"/>
  <c r="N35" i="8"/>
  <c r="M35" i="8"/>
  <c r="L35" i="8"/>
  <c r="K35" i="8"/>
  <c r="J35" i="8"/>
  <c r="I35" i="8"/>
  <c r="H35" i="8"/>
  <c r="G35" i="8"/>
  <c r="P34" i="8"/>
  <c r="O34" i="8"/>
  <c r="N34" i="8"/>
  <c r="M34" i="8"/>
  <c r="L34" i="8"/>
  <c r="K34" i="8"/>
  <c r="J34" i="8"/>
  <c r="I34" i="8"/>
  <c r="H34" i="8"/>
  <c r="G34" i="8"/>
  <c r="P33" i="8"/>
  <c r="O33" i="8"/>
  <c r="N33" i="8"/>
  <c r="M33" i="8"/>
  <c r="L33" i="8"/>
  <c r="K33" i="8"/>
  <c r="J33" i="8"/>
  <c r="I33" i="8"/>
  <c r="H33" i="8"/>
  <c r="G33" i="8"/>
  <c r="Q36" i="8"/>
  <c r="Q35" i="8"/>
  <c r="Q34" i="8"/>
  <c r="Q33" i="8"/>
  <c r="P29" i="8"/>
  <c r="O29" i="8"/>
  <c r="N29" i="8"/>
  <c r="M29" i="8"/>
  <c r="L29" i="8"/>
  <c r="K29" i="8"/>
  <c r="J29" i="8"/>
  <c r="I29" i="8"/>
  <c r="H29" i="8"/>
  <c r="G29" i="8"/>
  <c r="P28" i="8"/>
  <c r="O28" i="8"/>
  <c r="N28" i="8"/>
  <c r="M28" i="8"/>
  <c r="L28" i="8"/>
  <c r="K28" i="8"/>
  <c r="J28" i="8"/>
  <c r="I28" i="8"/>
  <c r="H28" i="8"/>
  <c r="G28" i="8"/>
  <c r="Q29" i="8"/>
  <c r="Q28" i="8"/>
  <c r="P24" i="8"/>
  <c r="O24" i="8"/>
  <c r="O25" i="8" s="1"/>
  <c r="N24" i="8"/>
  <c r="M24" i="8"/>
  <c r="L24" i="8"/>
  <c r="K24" i="8"/>
  <c r="J24" i="8"/>
  <c r="I24" i="8"/>
  <c r="H24" i="8"/>
  <c r="G24" i="8"/>
  <c r="F24" i="8"/>
  <c r="E24" i="8"/>
  <c r="D24" i="8"/>
  <c r="C24" i="8"/>
  <c r="B24" i="8"/>
  <c r="Q24" i="8"/>
  <c r="P20" i="8"/>
  <c r="O20" i="8"/>
  <c r="N20" i="8"/>
  <c r="M20" i="8"/>
  <c r="L20" i="8"/>
  <c r="K20" i="8"/>
  <c r="J20" i="8"/>
  <c r="I20" i="8"/>
  <c r="H20" i="8"/>
  <c r="G20" i="8"/>
  <c r="F20" i="8"/>
  <c r="E20" i="8"/>
  <c r="D20" i="8"/>
  <c r="C20" i="8"/>
  <c r="B20" i="8"/>
  <c r="P19" i="8"/>
  <c r="O19" i="8"/>
  <c r="N19" i="8"/>
  <c r="M19" i="8"/>
  <c r="L19" i="8"/>
  <c r="K19" i="8"/>
  <c r="J19" i="8"/>
  <c r="I19" i="8"/>
  <c r="H19" i="8"/>
  <c r="G19" i="8"/>
  <c r="F19" i="8"/>
  <c r="E19" i="8"/>
  <c r="D19" i="8"/>
  <c r="C19" i="8"/>
  <c r="B19" i="8"/>
  <c r="P18" i="8"/>
  <c r="O18" i="8"/>
  <c r="N18" i="8"/>
  <c r="M18" i="8"/>
  <c r="L18" i="8"/>
  <c r="K18" i="8"/>
  <c r="J18" i="8"/>
  <c r="I18" i="8"/>
  <c r="H18" i="8"/>
  <c r="G18" i="8"/>
  <c r="F18" i="8"/>
  <c r="E18" i="8"/>
  <c r="D18" i="8"/>
  <c r="C18" i="8"/>
  <c r="B18" i="8"/>
  <c r="P17" i="8"/>
  <c r="O17" i="8"/>
  <c r="N17" i="8"/>
  <c r="M17" i="8"/>
  <c r="L17" i="8"/>
  <c r="K17" i="8"/>
  <c r="J17" i="8"/>
  <c r="I17" i="8"/>
  <c r="H17" i="8"/>
  <c r="G17" i="8"/>
  <c r="F17" i="8"/>
  <c r="E17" i="8"/>
  <c r="D17" i="8"/>
  <c r="C17" i="8"/>
  <c r="B17" i="8"/>
  <c r="Q20" i="8"/>
  <c r="Q19" i="8"/>
  <c r="Q18" i="8"/>
  <c r="Q17" i="8"/>
  <c r="P13" i="8"/>
  <c r="O13" i="8"/>
  <c r="N13" i="8"/>
  <c r="M13" i="8"/>
  <c r="L13" i="8"/>
  <c r="K13" i="8"/>
  <c r="J13" i="8"/>
  <c r="I13" i="8"/>
  <c r="H13" i="8"/>
  <c r="G13" i="8"/>
  <c r="F13" i="8"/>
  <c r="E13" i="8"/>
  <c r="D13" i="8"/>
  <c r="C13" i="8"/>
  <c r="B13" i="8"/>
  <c r="P12" i="8"/>
  <c r="O12" i="8"/>
  <c r="N12" i="8"/>
  <c r="M12" i="8"/>
  <c r="L12" i="8"/>
  <c r="K12" i="8"/>
  <c r="J12" i="8"/>
  <c r="I12" i="8"/>
  <c r="H12" i="8"/>
  <c r="G12" i="8"/>
  <c r="F12" i="8"/>
  <c r="E12" i="8"/>
  <c r="D12" i="8"/>
  <c r="C12" i="8"/>
  <c r="B12" i="8"/>
  <c r="P11" i="8"/>
  <c r="O11" i="8"/>
  <c r="N11" i="8"/>
  <c r="M11" i="8"/>
  <c r="L11" i="8"/>
  <c r="K11" i="8"/>
  <c r="J11" i="8"/>
  <c r="I11" i="8"/>
  <c r="H11" i="8"/>
  <c r="G11" i="8"/>
  <c r="F11" i="8"/>
  <c r="E11" i="8"/>
  <c r="D11" i="8"/>
  <c r="C11" i="8"/>
  <c r="B11" i="8"/>
  <c r="Q13" i="8"/>
  <c r="Q12" i="8"/>
  <c r="Q11" i="8"/>
  <c r="F7" i="8"/>
  <c r="E7" i="8"/>
  <c r="D7" i="8"/>
  <c r="C7" i="8"/>
  <c r="B7" i="8"/>
  <c r="F6" i="8"/>
  <c r="E6" i="8"/>
  <c r="D6" i="8"/>
  <c r="C6" i="8"/>
  <c r="B6" i="8"/>
  <c r="F5" i="8"/>
  <c r="E5" i="8"/>
  <c r="D5" i="8"/>
  <c r="C5" i="8"/>
  <c r="B5" i="8"/>
  <c r="P7" i="8"/>
  <c r="O7" i="8"/>
  <c r="N7" i="8"/>
  <c r="M7" i="8"/>
  <c r="L7" i="8"/>
  <c r="K7" i="8"/>
  <c r="J7" i="8"/>
  <c r="I7" i="8"/>
  <c r="H7" i="8"/>
  <c r="G7" i="8"/>
  <c r="P6" i="8"/>
  <c r="O6" i="8"/>
  <c r="N6" i="8"/>
  <c r="M6" i="8"/>
  <c r="L6" i="8"/>
  <c r="K6" i="8"/>
  <c r="J6" i="8"/>
  <c r="I6" i="8"/>
  <c r="H6" i="8"/>
  <c r="G6" i="8"/>
  <c r="P5" i="8"/>
  <c r="M5" i="8"/>
  <c r="L5" i="8"/>
  <c r="K5" i="8"/>
  <c r="J5" i="8"/>
  <c r="I5" i="8"/>
  <c r="H5" i="8"/>
  <c r="G5" i="8"/>
  <c r="Q7" i="8"/>
  <c r="Q6" i="8"/>
  <c r="Q5" i="8"/>
  <c r="O18" i="9"/>
  <c r="N18" i="9"/>
  <c r="M18" i="9"/>
  <c r="J18" i="9"/>
  <c r="I18" i="9"/>
  <c r="H18" i="9"/>
  <c r="E18" i="9"/>
  <c r="D18" i="9"/>
  <c r="C18" i="9"/>
  <c r="O17" i="9"/>
  <c r="N17" i="9"/>
  <c r="M17" i="9"/>
  <c r="J17" i="9"/>
  <c r="I17" i="9"/>
  <c r="H17" i="9"/>
  <c r="E17" i="9"/>
  <c r="D17" i="9"/>
  <c r="C17" i="9"/>
  <c r="F11" i="9"/>
  <c r="E11" i="9"/>
  <c r="D11" i="9"/>
  <c r="C11" i="9"/>
  <c r="B11" i="9"/>
  <c r="F10" i="9"/>
  <c r="E10" i="9"/>
  <c r="D10" i="9"/>
  <c r="C10" i="9"/>
  <c r="B10" i="9"/>
  <c r="F9" i="9"/>
  <c r="E9" i="9"/>
  <c r="D9" i="9"/>
  <c r="C9" i="9"/>
  <c r="B9" i="9"/>
  <c r="F7" i="9"/>
  <c r="E7" i="9"/>
  <c r="D7" i="9"/>
  <c r="C7" i="9"/>
  <c r="B7" i="9"/>
  <c r="N5" i="9"/>
  <c r="I5" i="9"/>
  <c r="F5" i="9"/>
  <c r="E6" i="11"/>
  <c r="D6" i="11"/>
  <c r="D8" i="11" s="1"/>
  <c r="C6" i="11"/>
  <c r="C8" i="11" s="1"/>
  <c r="B6" i="11"/>
  <c r="E26" i="12"/>
  <c r="D26" i="12"/>
  <c r="C26" i="12"/>
  <c r="B26" i="12"/>
  <c r="G26" i="12"/>
  <c r="H26" i="12"/>
  <c r="I26" i="12"/>
  <c r="J26" i="12"/>
  <c r="L26" i="12"/>
  <c r="M26" i="12"/>
  <c r="N26" i="12"/>
  <c r="O26" i="12"/>
  <c r="Q26" i="12"/>
  <c r="E15" i="12"/>
  <c r="D15" i="12"/>
  <c r="C15" i="12"/>
  <c r="B15" i="12"/>
  <c r="E14" i="12"/>
  <c r="D14" i="12"/>
  <c r="C14" i="12"/>
  <c r="B14" i="12"/>
  <c r="E13" i="12"/>
  <c r="D13" i="12"/>
  <c r="C13" i="12"/>
  <c r="B13" i="12"/>
  <c r="B12" i="12" s="1"/>
  <c r="P19" i="5"/>
  <c r="O19" i="5"/>
  <c r="N19" i="5"/>
  <c r="M19" i="5"/>
  <c r="L19" i="5"/>
  <c r="K19" i="5"/>
  <c r="J19" i="5"/>
  <c r="I19" i="5"/>
  <c r="H19" i="5"/>
  <c r="G19" i="5"/>
  <c r="F19" i="5"/>
  <c r="E19" i="5"/>
  <c r="D19" i="5"/>
  <c r="C19" i="5"/>
  <c r="B19" i="5"/>
  <c r="P18" i="5"/>
  <c r="O18" i="5"/>
  <c r="N18" i="5"/>
  <c r="M18" i="5"/>
  <c r="L18" i="5"/>
  <c r="K18" i="5"/>
  <c r="J18" i="5"/>
  <c r="I18" i="5"/>
  <c r="H18" i="5"/>
  <c r="G18" i="5"/>
  <c r="F18" i="5"/>
  <c r="E18" i="5"/>
  <c r="D18" i="5"/>
  <c r="C18" i="5"/>
  <c r="B18" i="5"/>
  <c r="P17" i="5"/>
  <c r="O17" i="5"/>
  <c r="N17" i="5"/>
  <c r="M17" i="5"/>
  <c r="L17" i="5"/>
  <c r="K17" i="5"/>
  <c r="J17" i="5"/>
  <c r="I17" i="5"/>
  <c r="H17" i="5"/>
  <c r="G17" i="5"/>
  <c r="F17" i="5"/>
  <c r="E17" i="5"/>
  <c r="D17" i="5"/>
  <c r="C17" i="5"/>
  <c r="B17" i="5"/>
  <c r="P14" i="5"/>
  <c r="O14" i="5"/>
  <c r="O8" i="2" s="1"/>
  <c r="N14" i="5"/>
  <c r="N8" i="2" s="1"/>
  <c r="M14" i="5"/>
  <c r="M8" i="2" s="1"/>
  <c r="L14" i="5"/>
  <c r="L8" i="2" s="1"/>
  <c r="K14" i="5"/>
  <c r="K8" i="2" s="1"/>
  <c r="J14" i="5"/>
  <c r="J8" i="2" s="1"/>
  <c r="I14" i="5"/>
  <c r="I8" i="2" s="1"/>
  <c r="H14" i="5"/>
  <c r="H8" i="2" s="1"/>
  <c r="G14" i="5"/>
  <c r="G8" i="2" s="1"/>
  <c r="F14" i="5"/>
  <c r="F8" i="2" s="1"/>
  <c r="E14" i="5"/>
  <c r="E8" i="2" s="1"/>
  <c r="D14" i="5"/>
  <c r="D8" i="2" s="1"/>
  <c r="C14" i="5"/>
  <c r="C8" i="2" s="1"/>
  <c r="B14" i="5"/>
  <c r="B8" i="2" s="1"/>
  <c r="G8" i="5"/>
  <c r="G5" i="2" s="1"/>
  <c r="F8" i="5"/>
  <c r="F5" i="2" s="1"/>
  <c r="E8" i="5"/>
  <c r="E5" i="2" s="1"/>
  <c r="D8" i="5"/>
  <c r="D5" i="2" s="1"/>
  <c r="C8" i="5"/>
  <c r="C5" i="2" s="1"/>
  <c r="B8" i="5"/>
  <c r="B5" i="2" s="1"/>
  <c r="M8" i="5"/>
  <c r="M5" i="2" s="1"/>
  <c r="J15" i="12"/>
  <c r="I15" i="12"/>
  <c r="H15" i="12"/>
  <c r="G15" i="12"/>
  <c r="J14" i="12"/>
  <c r="I14" i="12"/>
  <c r="H14" i="12"/>
  <c r="G14" i="12"/>
  <c r="J13" i="12"/>
  <c r="I13" i="12"/>
  <c r="I12" i="12" s="1"/>
  <c r="H13" i="12"/>
  <c r="H12" i="12" s="1"/>
  <c r="G13" i="12"/>
  <c r="O15" i="12"/>
  <c r="N15" i="12"/>
  <c r="M15" i="12"/>
  <c r="L15" i="12"/>
  <c r="O14" i="12"/>
  <c r="N14" i="12"/>
  <c r="M14" i="12"/>
  <c r="L14" i="12"/>
  <c r="O13" i="12"/>
  <c r="N13" i="12"/>
  <c r="N12" i="12" s="1"/>
  <c r="M13" i="12"/>
  <c r="L13" i="12"/>
  <c r="L12" i="12" s="1"/>
  <c r="O12" i="12"/>
  <c r="Q15" i="12"/>
  <c r="Q14" i="12"/>
  <c r="Q13" i="12"/>
  <c r="E10" i="12"/>
  <c r="D10" i="12"/>
  <c r="C10" i="12"/>
  <c r="C20" i="12" s="1"/>
  <c r="B10" i="12"/>
  <c r="E9" i="12"/>
  <c r="E19" i="12" s="1"/>
  <c r="D9" i="12"/>
  <c r="C9" i="12"/>
  <c r="C19" i="12" s="1"/>
  <c r="B9" i="12"/>
  <c r="E8" i="12"/>
  <c r="E7" i="12" s="1"/>
  <c r="D8" i="12"/>
  <c r="C8" i="12"/>
  <c r="C18" i="12" s="1"/>
  <c r="C17" i="12" s="1"/>
  <c r="B8" i="12"/>
  <c r="B7" i="12" s="1"/>
  <c r="O10" i="12"/>
  <c r="O20" i="12" s="1"/>
  <c r="N10" i="12"/>
  <c r="M10" i="12"/>
  <c r="L10" i="12"/>
  <c r="L20" i="12" s="1"/>
  <c r="O9" i="12"/>
  <c r="O19" i="12" s="1"/>
  <c r="N9" i="12"/>
  <c r="M9" i="12"/>
  <c r="L9" i="12"/>
  <c r="L19" i="12" s="1"/>
  <c r="O8" i="12"/>
  <c r="O18" i="12" s="1"/>
  <c r="N8" i="12"/>
  <c r="M8" i="12"/>
  <c r="L8" i="12"/>
  <c r="L18" i="12" s="1"/>
  <c r="L17" i="12" s="1"/>
  <c r="J10" i="12"/>
  <c r="I10" i="12"/>
  <c r="I20" i="12" s="1"/>
  <c r="H10" i="12"/>
  <c r="H20" i="12" s="1"/>
  <c r="G10" i="12"/>
  <c r="J9" i="12"/>
  <c r="I9" i="12"/>
  <c r="I19" i="12" s="1"/>
  <c r="H9" i="12"/>
  <c r="H19" i="12" s="1"/>
  <c r="J8" i="12"/>
  <c r="I8" i="12"/>
  <c r="H8" i="12"/>
  <c r="G8" i="12"/>
  <c r="Q10" i="12"/>
  <c r="Q9" i="12"/>
  <c r="Q8" i="12"/>
  <c r="C17" i="2"/>
  <c r="D17" i="2"/>
  <c r="E17" i="2"/>
  <c r="F6" i="11"/>
  <c r="G26" i="6"/>
  <c r="G11" i="9" s="1"/>
  <c r="G10" i="9"/>
  <c r="G21" i="6"/>
  <c r="G9" i="9" s="1"/>
  <c r="G16" i="6"/>
  <c r="G12" i="6"/>
  <c r="G8" i="6"/>
  <c r="G7" i="9" s="1"/>
  <c r="G9" i="12"/>
  <c r="G28" i="3"/>
  <c r="G32" i="3" s="1"/>
  <c r="G7" i="3"/>
  <c r="G5" i="3" s="1"/>
  <c r="G48" i="1"/>
  <c r="G50" i="1" s="1"/>
  <c r="G36" i="1"/>
  <c r="G39" i="1" s="1"/>
  <c r="G30" i="1"/>
  <c r="G28" i="1"/>
  <c r="G20" i="1"/>
  <c r="G17" i="2"/>
  <c r="B17" i="2"/>
  <c r="K13" i="11"/>
  <c r="K6" i="11"/>
  <c r="K8" i="11" s="1"/>
  <c r="M12" i="9"/>
  <c r="N26" i="6"/>
  <c r="N11" i="9" s="1"/>
  <c r="N23" i="6"/>
  <c r="N10" i="9" s="1"/>
  <c r="N21" i="6"/>
  <c r="N9" i="9" s="1"/>
  <c r="N16" i="6"/>
  <c r="N12" i="6"/>
  <c r="N8" i="6"/>
  <c r="H26" i="6"/>
  <c r="H11" i="9" s="1"/>
  <c r="H23" i="6"/>
  <c r="H10" i="9" s="1"/>
  <c r="H21" i="6"/>
  <c r="H9" i="9" s="1"/>
  <c r="H16" i="6"/>
  <c r="H12" i="6"/>
  <c r="H8" i="6"/>
  <c r="H7" i="9" s="1"/>
  <c r="H8" i="5"/>
  <c r="H5" i="2" s="1"/>
  <c r="M19" i="3"/>
  <c r="M15" i="3" s="1"/>
  <c r="H10" i="3"/>
  <c r="H9" i="3"/>
  <c r="H6" i="3"/>
  <c r="M17" i="2"/>
  <c r="H17" i="2"/>
  <c r="H48" i="1"/>
  <c r="H50" i="1" s="1"/>
  <c r="H39" i="1"/>
  <c r="H32" i="1"/>
  <c r="H28" i="1"/>
  <c r="H20" i="1"/>
  <c r="L6" i="11"/>
  <c r="L8" i="11" s="1"/>
  <c r="I26" i="6"/>
  <c r="I11" i="9" s="1"/>
  <c r="I23" i="6"/>
  <c r="I10" i="9" s="1"/>
  <c r="I21" i="6"/>
  <c r="I9" i="9" s="1"/>
  <c r="I16" i="6"/>
  <c r="I12" i="6"/>
  <c r="I8" i="6"/>
  <c r="I7" i="9" s="1"/>
  <c r="N8" i="5"/>
  <c r="N5" i="2" s="1"/>
  <c r="I8" i="5"/>
  <c r="I5" i="2" s="1"/>
  <c r="N19" i="3"/>
  <c r="N15" i="3" s="1"/>
  <c r="N9" i="3"/>
  <c r="N5" i="3" s="1"/>
  <c r="I51" i="1"/>
  <c r="M6" i="11"/>
  <c r="P28" i="2" s="1"/>
  <c r="P17" i="9" s="1"/>
  <c r="I6" i="11"/>
  <c r="I8" i="11" s="1"/>
  <c r="N21" i="3" l="1"/>
  <c r="H5" i="3"/>
  <c r="M7" i="12"/>
  <c r="D12" i="12"/>
  <c r="H11" i="2"/>
  <c r="H18" i="2" s="1"/>
  <c r="H20" i="2" s="1"/>
  <c r="H22" i="2" s="1"/>
  <c r="H24" i="2" s="1"/>
  <c r="H33" i="2" s="1"/>
  <c r="D18" i="12"/>
  <c r="D19" i="12"/>
  <c r="D20" i="12"/>
  <c r="D11" i="2"/>
  <c r="D18" i="2" s="1"/>
  <c r="D20" i="2" s="1"/>
  <c r="D22" i="2" s="1"/>
  <c r="D4" i="6" s="1"/>
  <c r="D32" i="6" s="1"/>
  <c r="D22" i="12" s="1"/>
  <c r="B11" i="2"/>
  <c r="M11" i="2"/>
  <c r="E11" i="2"/>
  <c r="E18" i="2" s="1"/>
  <c r="E20" i="2" s="1"/>
  <c r="E22" i="2" s="1"/>
  <c r="C11" i="2"/>
  <c r="C18" i="2" s="1"/>
  <c r="C20" i="2" s="1"/>
  <c r="C22" i="2" s="1"/>
  <c r="C5" i="9" s="1"/>
  <c r="B25" i="7"/>
  <c r="G26" i="7"/>
  <c r="C30" i="7"/>
  <c r="G30" i="7"/>
  <c r="K30" i="7"/>
  <c r="O30" i="7"/>
  <c r="J20" i="12"/>
  <c r="N4" i="4"/>
  <c r="H30" i="8"/>
  <c r="E12" i="12"/>
  <c r="O17" i="12"/>
  <c r="B24" i="7"/>
  <c r="F24" i="7"/>
  <c r="J24" i="7"/>
  <c r="N24" i="7"/>
  <c r="B26" i="7"/>
  <c r="G27" i="7"/>
  <c r="J30" i="7"/>
  <c r="N30" i="7"/>
  <c r="P8" i="2"/>
  <c r="J30" i="8"/>
  <c r="N30" i="8"/>
  <c r="J19" i="12"/>
  <c r="J18" i="12"/>
  <c r="I8" i="8"/>
  <c r="M8" i="8"/>
  <c r="J8" i="8"/>
  <c r="P8" i="8"/>
  <c r="N8" i="8"/>
  <c r="L30" i="8"/>
  <c r="H8" i="8"/>
  <c r="K14" i="8"/>
  <c r="H13" i="9"/>
  <c r="Q14" i="8"/>
  <c r="Q25" i="8"/>
  <c r="E30" i="7"/>
  <c r="I30" i="7"/>
  <c r="M30" i="7"/>
  <c r="D13" i="9"/>
  <c r="I14" i="8"/>
  <c r="Q30" i="8"/>
  <c r="B28" i="12"/>
  <c r="B27" i="7"/>
  <c r="G28" i="7"/>
  <c r="C25" i="7"/>
  <c r="G25" i="7"/>
  <c r="B28" i="7"/>
  <c r="D30" i="7"/>
  <c r="H30" i="7"/>
  <c r="L30" i="7"/>
  <c r="P30" i="7"/>
  <c r="C24" i="7"/>
  <c r="G24" i="7"/>
  <c r="K24" i="7"/>
  <c r="O24" i="7"/>
  <c r="B8" i="8"/>
  <c r="F8" i="8"/>
  <c r="J14" i="8"/>
  <c r="Q21" i="8"/>
  <c r="G21" i="8"/>
  <c r="K21" i="8"/>
  <c r="O21" i="8"/>
  <c r="H21" i="8"/>
  <c r="L21" i="8"/>
  <c r="P21" i="8"/>
  <c r="J21" i="8"/>
  <c r="J25" i="8"/>
  <c r="N25" i="8"/>
  <c r="G37" i="8"/>
  <c r="K37" i="8"/>
  <c r="O37" i="8"/>
  <c r="D24" i="7"/>
  <c r="H24" i="7"/>
  <c r="L24" i="7"/>
  <c r="P24" i="7"/>
  <c r="L8" i="8"/>
  <c r="E24" i="7"/>
  <c r="I24" i="7"/>
  <c r="M24" i="7"/>
  <c r="M18" i="2"/>
  <c r="M20" i="2" s="1"/>
  <c r="M22" i="2" s="1"/>
  <c r="M24" i="2" s="1"/>
  <c r="M33" i="2" s="1"/>
  <c r="G33" i="1"/>
  <c r="G40" i="1" s="1"/>
  <c r="G51" i="1" s="1"/>
  <c r="N14" i="8"/>
  <c r="H32" i="2"/>
  <c r="G13" i="9"/>
  <c r="N31" i="6"/>
  <c r="N32" i="6" s="1"/>
  <c r="N22" i="12" s="1"/>
  <c r="I20" i="5"/>
  <c r="M20" i="5"/>
  <c r="F26" i="7"/>
  <c r="J26" i="7"/>
  <c r="N26" i="7"/>
  <c r="K27" i="7"/>
  <c r="O27" i="7"/>
  <c r="H28" i="7"/>
  <c r="L28" i="7"/>
  <c r="P28" i="7"/>
  <c r="I7" i="12"/>
  <c r="G11" i="2"/>
  <c r="G18" i="2" s="1"/>
  <c r="G20" i="2" s="1"/>
  <c r="G22" i="2" s="1"/>
  <c r="G5" i="9" s="1"/>
  <c r="B20" i="5"/>
  <c r="J20" i="5"/>
  <c r="N20" i="5"/>
  <c r="N7" i="9"/>
  <c r="N13" i="9" s="1"/>
  <c r="N14" i="9" s="1"/>
  <c r="B19" i="12"/>
  <c r="B20" i="12"/>
  <c r="F11" i="2"/>
  <c r="F18" i="2" s="1"/>
  <c r="E20" i="5"/>
  <c r="G10" i="7"/>
  <c r="K10" i="7"/>
  <c r="O10" i="7"/>
  <c r="H26" i="7"/>
  <c r="L26" i="7"/>
  <c r="P26" i="7"/>
  <c r="I27" i="7"/>
  <c r="M27" i="7"/>
  <c r="J28" i="7"/>
  <c r="N28" i="7"/>
  <c r="Q16" i="7"/>
  <c r="H16" i="7"/>
  <c r="L16" i="7"/>
  <c r="I31" i="6"/>
  <c r="I32" i="6" s="1"/>
  <c r="I22" i="12" s="1"/>
  <c r="I13" i="9"/>
  <c r="I14" i="9" s="1"/>
  <c r="I21" i="8"/>
  <c r="M21" i="8"/>
  <c r="G8" i="8"/>
  <c r="B25" i="8"/>
  <c r="F25" i="8"/>
  <c r="G30" i="8"/>
  <c r="B14" i="8"/>
  <c r="G14" i="8"/>
  <c r="O14" i="8"/>
  <c r="H14" i="8"/>
  <c r="L14" i="8"/>
  <c r="P14" i="8"/>
  <c r="M14" i="8"/>
  <c r="B21" i="8"/>
  <c r="N21" i="8"/>
  <c r="C25" i="8"/>
  <c r="G25" i="8"/>
  <c r="K25" i="8"/>
  <c r="J37" i="8"/>
  <c r="N37" i="8"/>
  <c r="H10" i="7"/>
  <c r="L10" i="7"/>
  <c r="P10" i="7"/>
  <c r="I26" i="7"/>
  <c r="F27" i="7"/>
  <c r="J27" i="7"/>
  <c r="N27" i="7"/>
  <c r="C28" i="7"/>
  <c r="K28" i="7"/>
  <c r="O28" i="7"/>
  <c r="J16" i="7"/>
  <c r="J10" i="7"/>
  <c r="N10" i="7"/>
  <c r="K26" i="7"/>
  <c r="O26" i="7"/>
  <c r="H27" i="7"/>
  <c r="L27" i="7"/>
  <c r="P27" i="7"/>
  <c r="E28" i="7"/>
  <c r="I28" i="7"/>
  <c r="P16" i="7"/>
  <c r="N16" i="7"/>
  <c r="G16" i="7"/>
  <c r="K16" i="7"/>
  <c r="O16" i="7"/>
  <c r="H25" i="8"/>
  <c r="D31" i="7"/>
  <c r="H31" i="7"/>
  <c r="L31" i="7"/>
  <c r="P31" i="7"/>
  <c r="K8" i="8"/>
  <c r="Q31" i="7"/>
  <c r="E31" i="7"/>
  <c r="I31" i="7"/>
  <c r="B31" i="7"/>
  <c r="F31" i="7"/>
  <c r="J31" i="7"/>
  <c r="N31" i="7"/>
  <c r="C31" i="7"/>
  <c r="G31" i="7"/>
  <c r="K31" i="7"/>
  <c r="O31" i="7"/>
  <c r="L25" i="8"/>
  <c r="P25" i="8"/>
  <c r="I25" i="8"/>
  <c r="M25" i="8"/>
  <c r="H37" i="8"/>
  <c r="P37" i="8"/>
  <c r="M28" i="7"/>
  <c r="O8" i="8"/>
  <c r="D25" i="8"/>
  <c r="I30" i="8"/>
  <c r="M30" i="8"/>
  <c r="I37" i="8"/>
  <c r="E25" i="8"/>
  <c r="P30" i="8"/>
  <c r="L37" i="8"/>
  <c r="K30" i="8"/>
  <c r="O30" i="8"/>
  <c r="H7" i="12"/>
  <c r="M18" i="12"/>
  <c r="M19" i="12"/>
  <c r="M20" i="12"/>
  <c r="E20" i="12"/>
  <c r="G20" i="12"/>
  <c r="J7" i="12"/>
  <c r="E18" i="12"/>
  <c r="G19" i="12"/>
  <c r="G18" i="12"/>
  <c r="C12" i="12"/>
  <c r="H18" i="12"/>
  <c r="H17" i="12" s="1"/>
  <c r="N18" i="12"/>
  <c r="N19" i="12"/>
  <c r="N20" i="12"/>
  <c r="D7" i="12"/>
  <c r="D28" i="12" s="1"/>
  <c r="J12" i="12"/>
  <c r="H31" i="6"/>
  <c r="D25" i="7"/>
  <c r="E25" i="7"/>
  <c r="I25" i="7"/>
  <c r="M25" i="7"/>
  <c r="H25" i="7"/>
  <c r="L25" i="7"/>
  <c r="P25" i="7"/>
  <c r="I16" i="7"/>
  <c r="J25" i="7"/>
  <c r="N25" i="7"/>
  <c r="G31" i="6"/>
  <c r="K25" i="7"/>
  <c r="O25" i="7"/>
  <c r="B8" i="11"/>
  <c r="B29" i="2" s="1"/>
  <c r="B18" i="9" s="1"/>
  <c r="B28" i="2"/>
  <c r="B17" i="9" s="1"/>
  <c r="H33" i="1"/>
  <c r="H40" i="1" s="1"/>
  <c r="H51" i="1" s="1"/>
  <c r="B18" i="2"/>
  <c r="B20" i="2" s="1"/>
  <c r="B22" i="2" s="1"/>
  <c r="B24" i="2" s="1"/>
  <c r="D4" i="3"/>
  <c r="D5" i="9"/>
  <c r="H4" i="6"/>
  <c r="H32" i="6" s="1"/>
  <c r="H22" i="12" s="1"/>
  <c r="M31" i="7"/>
  <c r="M16" i="7"/>
  <c r="M37" i="8"/>
  <c r="M26" i="7"/>
  <c r="M12" i="12"/>
  <c r="C20" i="5"/>
  <c r="G20" i="5"/>
  <c r="O20" i="5"/>
  <c r="I18" i="12"/>
  <c r="I17" i="12" s="1"/>
  <c r="B18" i="12"/>
  <c r="C7" i="12"/>
  <c r="C28" i="12" s="1"/>
  <c r="G12" i="12"/>
  <c r="D20" i="5"/>
  <c r="H20" i="5"/>
  <c r="L20" i="5"/>
  <c r="P20" i="5"/>
  <c r="L7" i="12"/>
  <c r="G7" i="12"/>
  <c r="E28" i="12"/>
  <c r="K29" i="2"/>
  <c r="K18" i="9" s="1"/>
  <c r="K28" i="2"/>
  <c r="K17" i="9" s="1"/>
  <c r="F8" i="11"/>
  <c r="G29" i="2" s="1"/>
  <c r="G28" i="2"/>
  <c r="G17" i="9" s="1"/>
  <c r="E8" i="11"/>
  <c r="F28" i="2"/>
  <c r="F32" i="2" s="1"/>
  <c r="D27" i="7"/>
  <c r="D21" i="8"/>
  <c r="D14" i="8"/>
  <c r="D28" i="7"/>
  <c r="D26" i="7"/>
  <c r="D8" i="8"/>
  <c r="D16" i="7"/>
  <c r="D10" i="7"/>
  <c r="C27" i="7"/>
  <c r="C21" i="8"/>
  <c r="C14" i="8"/>
  <c r="C8" i="8"/>
  <c r="C26" i="7"/>
  <c r="C16" i="7"/>
  <c r="C10" i="7"/>
  <c r="M8" i="11"/>
  <c r="F30" i="7"/>
  <c r="F16" i="7"/>
  <c r="F10" i="7"/>
  <c r="F21" i="8"/>
  <c r="E21" i="8"/>
  <c r="E27" i="7"/>
  <c r="F28" i="7"/>
  <c r="F14" i="8"/>
  <c r="E16" i="7"/>
  <c r="E14" i="8"/>
  <c r="E26" i="7"/>
  <c r="E8" i="8"/>
  <c r="E10" i="7"/>
  <c r="K20" i="5"/>
  <c r="F20" i="5"/>
  <c r="F4" i="4"/>
  <c r="F8" i="4" s="1"/>
  <c r="F25" i="7"/>
  <c r="B30" i="7"/>
  <c r="B10" i="7"/>
  <c r="B16" i="7"/>
  <c r="B13" i="9"/>
  <c r="F13" i="9"/>
  <c r="F14" i="9" s="1"/>
  <c r="C13" i="9"/>
  <c r="E13" i="9"/>
  <c r="I10" i="7"/>
  <c r="M10" i="7"/>
  <c r="P26" i="6"/>
  <c r="P11" i="9" s="1"/>
  <c r="O26" i="6"/>
  <c r="O11" i="9" s="1"/>
  <c r="M26" i="6"/>
  <c r="M11" i="9" s="1"/>
  <c r="K26" i="6"/>
  <c r="K11" i="9" s="1"/>
  <c r="J26" i="6"/>
  <c r="J11" i="9" s="1"/>
  <c r="P23" i="6"/>
  <c r="P10" i="9" s="1"/>
  <c r="O23" i="6"/>
  <c r="O10" i="9" s="1"/>
  <c r="M23" i="6"/>
  <c r="M10" i="9" s="1"/>
  <c r="K23" i="6"/>
  <c r="K10" i="9" s="1"/>
  <c r="J23" i="6"/>
  <c r="J10" i="9" s="1"/>
  <c r="P21" i="6"/>
  <c r="P9" i="9" s="1"/>
  <c r="O21" i="6"/>
  <c r="O9" i="9" s="1"/>
  <c r="M21" i="6"/>
  <c r="M9" i="9" s="1"/>
  <c r="K21" i="6"/>
  <c r="K9" i="9" s="1"/>
  <c r="J21" i="6"/>
  <c r="J9" i="9" s="1"/>
  <c r="P16" i="6"/>
  <c r="O16" i="6"/>
  <c r="M16" i="6"/>
  <c r="K16" i="6"/>
  <c r="J16" i="6"/>
  <c r="Q12" i="6"/>
  <c r="P12" i="6"/>
  <c r="O12" i="6"/>
  <c r="M12" i="6"/>
  <c r="K12" i="6"/>
  <c r="J12" i="6"/>
  <c r="P8" i="6"/>
  <c r="O8" i="6"/>
  <c r="O7" i="9" s="1"/>
  <c r="M8" i="6"/>
  <c r="M7" i="9" s="1"/>
  <c r="K8" i="6"/>
  <c r="K7" i="9" s="1"/>
  <c r="J8" i="6"/>
  <c r="J7" i="9" s="1"/>
  <c r="D21" i="3" l="1"/>
  <c r="H4" i="3"/>
  <c r="H21" i="3" s="1"/>
  <c r="D24" i="2"/>
  <c r="D32" i="2" s="1"/>
  <c r="H5" i="9"/>
  <c r="H14" i="9" s="1"/>
  <c r="H21" i="9" s="1"/>
  <c r="M5" i="9"/>
  <c r="D17" i="12"/>
  <c r="C24" i="2"/>
  <c r="C33" i="2" s="1"/>
  <c r="C4" i="3"/>
  <c r="C4" i="6"/>
  <c r="C32" i="6" s="1"/>
  <c r="C22" i="12" s="1"/>
  <c r="N24" i="12"/>
  <c r="M4" i="6"/>
  <c r="J17" i="12"/>
  <c r="D14" i="9"/>
  <c r="D21" i="9" s="1"/>
  <c r="E17" i="12"/>
  <c r="M4" i="3"/>
  <c r="G17" i="12"/>
  <c r="G32" i="7"/>
  <c r="K13" i="9"/>
  <c r="C32" i="7"/>
  <c r="M32" i="2"/>
  <c r="J32" i="7"/>
  <c r="H32" i="7"/>
  <c r="K32" i="7"/>
  <c r="P32" i="7"/>
  <c r="I32" i="7"/>
  <c r="J13" i="9"/>
  <c r="G14" i="9"/>
  <c r="G21" i="9" s="1"/>
  <c r="M17" i="12"/>
  <c r="O31" i="6"/>
  <c r="N21" i="9"/>
  <c r="N22" i="9"/>
  <c r="D33" i="2"/>
  <c r="O13" i="9"/>
  <c r="P31" i="6"/>
  <c r="P7" i="9"/>
  <c r="P13" i="9" s="1"/>
  <c r="C32" i="2"/>
  <c r="B33" i="2"/>
  <c r="B32" i="2"/>
  <c r="B17" i="12"/>
  <c r="L32" i="7"/>
  <c r="I22" i="9"/>
  <c r="I21" i="9"/>
  <c r="N32" i="7"/>
  <c r="O32" i="7"/>
  <c r="M32" i="7"/>
  <c r="N17" i="12"/>
  <c r="B5" i="9"/>
  <c r="B14" i="9" s="1"/>
  <c r="P29" i="2"/>
  <c r="P18" i="9" s="1"/>
  <c r="G4" i="3"/>
  <c r="G4" i="6"/>
  <c r="G32" i="6" s="1"/>
  <c r="G22" i="12" s="1"/>
  <c r="G24" i="2"/>
  <c r="B4" i="3"/>
  <c r="B4" i="6"/>
  <c r="B32" i="6" s="1"/>
  <c r="B22" i="12" s="1"/>
  <c r="C14" i="9"/>
  <c r="E4" i="3"/>
  <c r="E5" i="9"/>
  <c r="E14" i="9" s="1"/>
  <c r="E24" i="2"/>
  <c r="E4" i="6"/>
  <c r="E32" i="6" s="1"/>
  <c r="E22" i="12" s="1"/>
  <c r="M13" i="9"/>
  <c r="M31" i="6"/>
  <c r="F17" i="9"/>
  <c r="F21" i="9" s="1"/>
  <c r="F29" i="2"/>
  <c r="F33" i="2" s="1"/>
  <c r="D32" i="7"/>
  <c r="D4" i="4"/>
  <c r="D8" i="4" s="1"/>
  <c r="D24" i="12"/>
  <c r="F32" i="7"/>
  <c r="E32" i="7"/>
  <c r="B32" i="7"/>
  <c r="I24" i="12"/>
  <c r="I4" i="4"/>
  <c r="I8" i="4" s="1"/>
  <c r="K31" i="6"/>
  <c r="J31" i="6"/>
  <c r="P8" i="5"/>
  <c r="O8" i="5"/>
  <c r="O5" i="2" s="1"/>
  <c r="O11" i="2" s="1"/>
  <c r="K8" i="5"/>
  <c r="K5" i="2" s="1"/>
  <c r="K11" i="2" s="1"/>
  <c r="K18" i="2" s="1"/>
  <c r="K20" i="2" s="1"/>
  <c r="K22" i="2" s="1"/>
  <c r="J8" i="5"/>
  <c r="J5" i="2" s="1"/>
  <c r="J11" i="2" s="1"/>
  <c r="J18" i="2" s="1"/>
  <c r="J20" i="2" s="1"/>
  <c r="J22" i="2" s="1"/>
  <c r="J24" i="2" s="1"/>
  <c r="N8" i="4"/>
  <c r="P17" i="2"/>
  <c r="K17" i="2"/>
  <c r="J17" i="2"/>
  <c r="L17" i="2"/>
  <c r="O17" i="2"/>
  <c r="F48" i="1"/>
  <c r="F50" i="1" s="1"/>
  <c r="J48" i="1"/>
  <c r="J50" i="1" s="1"/>
  <c r="F39" i="1"/>
  <c r="F20" i="1"/>
  <c r="J20" i="1"/>
  <c r="B21" i="3" l="1"/>
  <c r="B24" i="12" s="1"/>
  <c r="E21" i="3"/>
  <c r="E4" i="4" s="1"/>
  <c r="E8" i="4" s="1"/>
  <c r="M21" i="3"/>
  <c r="C21" i="3"/>
  <c r="C4" i="4" s="1"/>
  <c r="C8" i="4" s="1"/>
  <c r="G21" i="3"/>
  <c r="M14" i="9"/>
  <c r="M22" i="9" s="1"/>
  <c r="M32" i="6"/>
  <c r="M22" i="12" s="1"/>
  <c r="H24" i="12"/>
  <c r="H4" i="4"/>
  <c r="H8" i="4" s="1"/>
  <c r="D22" i="9"/>
  <c r="H22" i="9"/>
  <c r="P5" i="2"/>
  <c r="P11" i="2" s="1"/>
  <c r="P18" i="2" s="1"/>
  <c r="P20" i="2" s="1"/>
  <c r="P22" i="2" s="1"/>
  <c r="P24" i="2" s="1"/>
  <c r="O18" i="2"/>
  <c r="O20" i="2" s="1"/>
  <c r="O22" i="2" s="1"/>
  <c r="O5" i="9" s="1"/>
  <c r="O14" i="9" s="1"/>
  <c r="G35" i="3"/>
  <c r="G36" i="3" s="1"/>
  <c r="K35" i="3"/>
  <c r="K36" i="3" s="1"/>
  <c r="E22" i="9"/>
  <c r="E21" i="9"/>
  <c r="J32" i="2"/>
  <c r="J33" i="2"/>
  <c r="C21" i="9"/>
  <c r="C22" i="9"/>
  <c r="G32" i="2"/>
  <c r="G33" i="2"/>
  <c r="E33" i="2"/>
  <c r="E32" i="2"/>
  <c r="B22" i="9"/>
  <c r="B21" i="9"/>
  <c r="K4" i="6"/>
  <c r="K32" i="6" s="1"/>
  <c r="K4" i="3"/>
  <c r="K5" i="9"/>
  <c r="K14" i="9" s="1"/>
  <c r="K24" i="2"/>
  <c r="J5" i="9"/>
  <c r="J14" i="9" s="1"/>
  <c r="J4" i="6"/>
  <c r="J32" i="6" s="1"/>
  <c r="J22" i="12" s="1"/>
  <c r="J4" i="3"/>
  <c r="G18" i="9"/>
  <c r="G22" i="9" s="1"/>
  <c r="F18" i="9"/>
  <c r="F22" i="9" s="1"/>
  <c r="F40" i="1"/>
  <c r="F51" i="1" s="1"/>
  <c r="M28" i="12"/>
  <c r="L28" i="12"/>
  <c r="J28" i="12"/>
  <c r="I28" i="12"/>
  <c r="H28" i="12"/>
  <c r="G28" i="12"/>
  <c r="Q20" i="12"/>
  <c r="Q19" i="12"/>
  <c r="Q18" i="12"/>
  <c r="Q12" i="12"/>
  <c r="Q7" i="12"/>
  <c r="Q28" i="12" s="1"/>
  <c r="O7" i="12"/>
  <c r="O28" i="12" s="1"/>
  <c r="N7" i="12"/>
  <c r="N6" i="11"/>
  <c r="J6" i="11"/>
  <c r="J8" i="11" s="1"/>
  <c r="Q37" i="8"/>
  <c r="Q8" i="8"/>
  <c r="Q29" i="7"/>
  <c r="Q28" i="7"/>
  <c r="Q27" i="7"/>
  <c r="Q26" i="7"/>
  <c r="Q10" i="7"/>
  <c r="Q26" i="6"/>
  <c r="Q11" i="9" s="1"/>
  <c r="L26" i="6"/>
  <c r="L11" i="9" s="1"/>
  <c r="Q23" i="6"/>
  <c r="Q10" i="9" s="1"/>
  <c r="L23" i="6"/>
  <c r="L10" i="9" s="1"/>
  <c r="Q21" i="6"/>
  <c r="Q9" i="9" s="1"/>
  <c r="L21" i="6"/>
  <c r="L9" i="9" s="1"/>
  <c r="Q16" i="6"/>
  <c r="L16" i="6"/>
  <c r="L12" i="6"/>
  <c r="Q8" i="6"/>
  <c r="Q7" i="9" s="1"/>
  <c r="L8" i="6"/>
  <c r="Q19" i="5"/>
  <c r="Q18" i="5"/>
  <c r="Q17" i="5"/>
  <c r="Q14" i="5"/>
  <c r="Q8" i="2" s="1"/>
  <c r="Q8" i="5"/>
  <c r="Q5" i="2" s="1"/>
  <c r="L8" i="5"/>
  <c r="L5" i="2" s="1"/>
  <c r="L11" i="2" s="1"/>
  <c r="L18" i="2" s="1"/>
  <c r="L20" i="2" s="1"/>
  <c r="Q30" i="3"/>
  <c r="Q26" i="3"/>
  <c r="Q19" i="3"/>
  <c r="Q18" i="3"/>
  <c r="Q14" i="3"/>
  <c r="Q5" i="3" s="1"/>
  <c r="Q16" i="2"/>
  <c r="K48" i="1"/>
  <c r="K50" i="1" s="1"/>
  <c r="K39" i="1"/>
  <c r="J38" i="1"/>
  <c r="J39" i="1" s="1"/>
  <c r="J40" i="1" s="1"/>
  <c r="K32" i="1"/>
  <c r="K33" i="1" s="1"/>
  <c r="K20" i="1"/>
  <c r="G4" i="4" l="1"/>
  <c r="G8" i="4" s="1"/>
  <c r="B30" i="12"/>
  <c r="Q15" i="3"/>
  <c r="M4" i="4"/>
  <c r="M8" i="4" s="1"/>
  <c r="M24" i="12"/>
  <c r="C24" i="12"/>
  <c r="K21" i="3"/>
  <c r="L35" i="3" s="1"/>
  <c r="L36" i="3" s="1"/>
  <c r="C8" i="1"/>
  <c r="C13" i="1" s="1"/>
  <c r="C21" i="1" s="1"/>
  <c r="E24" i="12"/>
  <c r="J21" i="3"/>
  <c r="G24" i="12"/>
  <c r="B4" i="4"/>
  <c r="B8" i="4" s="1"/>
  <c r="Q32" i="3"/>
  <c r="U30" i="3"/>
  <c r="U32" i="3" s="1"/>
  <c r="M21" i="9"/>
  <c r="O4" i="3"/>
  <c r="O4" i="6"/>
  <c r="O32" i="6" s="1"/>
  <c r="O22" i="12" s="1"/>
  <c r="O24" i="2"/>
  <c r="O32" i="2" s="1"/>
  <c r="P5" i="9"/>
  <c r="P14" i="9" s="1"/>
  <c r="P21" i="9" s="1"/>
  <c r="Q11" i="2"/>
  <c r="Q13" i="9"/>
  <c r="P4" i="6"/>
  <c r="P32" i="6" s="1"/>
  <c r="P4" i="3"/>
  <c r="K32" i="2"/>
  <c r="K33" i="2"/>
  <c r="O21" i="9"/>
  <c r="O22" i="9"/>
  <c r="K21" i="9"/>
  <c r="K22" i="9"/>
  <c r="O33" i="2"/>
  <c r="J21" i="9"/>
  <c r="J22" i="9"/>
  <c r="P32" i="2"/>
  <c r="P33" i="2"/>
  <c r="Q17" i="2"/>
  <c r="Q17" i="7"/>
  <c r="Q24" i="7" s="1"/>
  <c r="L7" i="9"/>
  <c r="L13" i="9" s="1"/>
  <c r="L31" i="6"/>
  <c r="L29" i="2"/>
  <c r="L18" i="9" s="1"/>
  <c r="L28" i="2"/>
  <c r="L17" i="9" s="1"/>
  <c r="N8" i="11"/>
  <c r="Q29" i="2" s="1"/>
  <c r="Q18" i="9" s="1"/>
  <c r="Q28" i="2"/>
  <c r="Q17" i="9" s="1"/>
  <c r="Q17" i="12"/>
  <c r="N28" i="12"/>
  <c r="K40" i="1"/>
  <c r="K51" i="1" s="1"/>
  <c r="J51" i="1"/>
  <c r="Q31" i="6"/>
  <c r="Q20" i="5"/>
  <c r="C35" i="3" l="1"/>
  <c r="J4" i="4"/>
  <c r="J8" i="4" s="1"/>
  <c r="J24" i="12"/>
  <c r="H35" i="3"/>
  <c r="H36" i="3" s="1"/>
  <c r="K4" i="4"/>
  <c r="K8" i="4" s="1"/>
  <c r="P21" i="3"/>
  <c r="G30" i="12"/>
  <c r="O21" i="3"/>
  <c r="P35" i="3"/>
  <c r="P36" i="3" s="1"/>
  <c r="P22" i="9"/>
  <c r="Q18" i="2"/>
  <c r="Q20" i="2" s="1"/>
  <c r="Q25" i="7"/>
  <c r="Q32" i="7" s="1"/>
  <c r="L22" i="2"/>
  <c r="D35" i="3" l="1"/>
  <c r="D36" i="3" s="1"/>
  <c r="D8" i="1"/>
  <c r="D13" i="1" s="1"/>
  <c r="D21" i="1" s="1"/>
  <c r="O4" i="4"/>
  <c r="O8" i="4" s="1"/>
  <c r="P4" i="4"/>
  <c r="P8" i="4" s="1"/>
  <c r="O24" i="12"/>
  <c r="Q35" i="3"/>
  <c r="Q36" i="3" s="1"/>
  <c r="L24" i="2"/>
  <c r="L4" i="6"/>
  <c r="L32" i="6" s="1"/>
  <c r="L22" i="12" s="1"/>
  <c r="L4" i="3"/>
  <c r="L21" i="3" s="1"/>
  <c r="L5" i="9"/>
  <c r="L14" i="9" s="1"/>
  <c r="Q22" i="2"/>
  <c r="C30" i="12" l="1"/>
  <c r="H30" i="12"/>
  <c r="E35" i="3"/>
  <c r="E36" i="3" s="1"/>
  <c r="I35" i="3"/>
  <c r="I36" i="3" s="1"/>
  <c r="U35" i="3"/>
  <c r="U36" i="3" s="1"/>
  <c r="L21" i="9"/>
  <c r="L22" i="9"/>
  <c r="L32" i="2"/>
  <c r="L33" i="2"/>
  <c r="G8" i="1"/>
  <c r="G13" i="1" s="1"/>
  <c r="G21" i="1" s="1"/>
  <c r="L4" i="4"/>
  <c r="L8" i="4" s="1"/>
  <c r="L24" i="12"/>
  <c r="Q5" i="9"/>
  <c r="Q14" i="9" s="1"/>
  <c r="Q4" i="6"/>
  <c r="Q32" i="6" s="1"/>
  <c r="Q22" i="12" s="1"/>
  <c r="Q4" i="3"/>
  <c r="Q21" i="3" s="1"/>
  <c r="Q24" i="2"/>
  <c r="B8" i="1" l="1"/>
  <c r="B13" i="1" s="1"/>
  <c r="B21" i="1" s="1"/>
  <c r="V35" i="3"/>
  <c r="V36" i="3" s="1"/>
  <c r="D30" i="12"/>
  <c r="L30" i="12"/>
  <c r="M35" i="3"/>
  <c r="M36" i="3" s="1"/>
  <c r="Q33" i="2"/>
  <c r="Q32" i="2"/>
  <c r="Q22" i="9"/>
  <c r="Q21" i="9"/>
  <c r="K8" i="1"/>
  <c r="K13" i="1" s="1"/>
  <c r="K21" i="1" s="1"/>
  <c r="Q4" i="4"/>
  <c r="Q8" i="4" s="1"/>
  <c r="Q24" i="12"/>
  <c r="E30" i="12" l="1"/>
  <c r="I30" i="12"/>
  <c r="J35" i="3"/>
  <c r="J36" i="3" s="1"/>
  <c r="E8" i="1"/>
  <c r="E13" i="1" s="1"/>
  <c r="E21" i="1" s="1"/>
  <c r="H8" i="1"/>
  <c r="H13" i="1" s="1"/>
  <c r="H21" i="1" s="1"/>
  <c r="Q30" i="12"/>
  <c r="R35" i="3"/>
  <c r="R36" i="3" s="1"/>
  <c r="N35" i="3"/>
  <c r="N36" i="3" s="1"/>
  <c r="M30" i="12"/>
  <c r="J30" i="12" l="1"/>
  <c r="O35" i="3"/>
  <c r="O36" i="3" s="1"/>
  <c r="O8" i="1"/>
  <c r="O13" i="1" s="1"/>
  <c r="O21" i="1" s="1"/>
  <c r="V30" i="12"/>
  <c r="R30" i="12"/>
  <c r="W35" i="3"/>
  <c r="W36" i="3" s="1"/>
  <c r="S35" i="3" l="1"/>
  <c r="S36" i="3" s="1"/>
  <c r="L8" i="1"/>
  <c r="L13" i="1" s="1"/>
  <c r="L21" i="1" s="1"/>
  <c r="I8" i="1"/>
  <c r="N30" i="12"/>
  <c r="W30" i="12"/>
  <c r="P8" i="1"/>
  <c r="P13" i="1" s="1"/>
  <c r="P21" i="1" s="1"/>
  <c r="F8" i="1"/>
  <c r="F13" i="1" s="1"/>
  <c r="F21" i="1" s="1"/>
  <c r="O30" i="12"/>
  <c r="J8" i="1"/>
  <c r="J13" i="1" s="1"/>
  <c r="J21" i="1" s="1"/>
  <c r="S30" i="12" l="1"/>
  <c r="T35" i="3"/>
  <c r="T36" i="3" s="1"/>
  <c r="M8" i="1"/>
  <c r="M13" i="1" s="1"/>
  <c r="M21" i="1" s="1"/>
  <c r="T30" i="12" l="1"/>
  <c r="N8" i="1"/>
  <c r="N13" i="1" s="1"/>
  <c r="N21" i="1" s="1"/>
</calcChain>
</file>

<file path=xl/sharedStrings.xml><?xml version="1.0" encoding="utf-8"?>
<sst xmlns="http://schemas.openxmlformats.org/spreadsheetml/2006/main" count="519" uniqueCount="243">
  <si>
    <t>December 31,</t>
  </si>
  <si>
    <t>March 31,</t>
  </si>
  <si>
    <t>2017</t>
  </si>
  <si>
    <t>2018</t>
  </si>
  <si>
    <t>Assets</t>
  </si>
  <si>
    <t>Current assets:</t>
  </si>
  <si>
    <t>Cash and cash equivalents</t>
  </si>
  <si>
    <t>Trade receivables, net of allowances</t>
  </si>
  <si>
    <t>Income taxes</t>
  </si>
  <si>
    <t>Other taxes</t>
  </si>
  <si>
    <t>Other current assets</t>
  </si>
  <si>
    <t>Total current assets</t>
  </si>
  <si>
    <t>Property, plant and equipment, net</t>
  </si>
  <si>
    <t>Intangible assets, net</t>
  </si>
  <si>
    <t>Goodwill</t>
  </si>
  <si>
    <t>Non-current financial assets</t>
  </si>
  <si>
    <t>Deferred tax assets</t>
  </si>
  <si>
    <t>Total non current assets</t>
  </si>
  <si>
    <t>Total assets</t>
  </si>
  <si>
    <t>Liabilities and shareholders' equity</t>
  </si>
  <si>
    <t>Current liabilities:</t>
  </si>
  <si>
    <t>Trade payables</t>
  </si>
  <si>
    <t>Contingencies</t>
  </si>
  <si>
    <t>Financial liabilities - current portion</t>
  </si>
  <si>
    <t>Employee - related payables</t>
  </si>
  <si>
    <t>Other current liabilities</t>
  </si>
  <si>
    <t>Total current liabilities</t>
  </si>
  <si>
    <t>Deferred tax liabilities</t>
  </si>
  <si>
    <t>Retirement benefit obligation</t>
  </si>
  <si>
    <t>Financial liabilities - non current portion</t>
  </si>
  <si>
    <t>Other non-current liabilities</t>
  </si>
  <si>
    <t>Total non-current liabilities</t>
  </si>
  <si>
    <t>Total liabilities</t>
  </si>
  <si>
    <t>Commitments and contingencies</t>
  </si>
  <si>
    <t>Shareholders' equity:</t>
  </si>
  <si>
    <t>Additional paid-in capital</t>
  </si>
  <si>
    <t>Accumulated other comprehensive income (loss)</t>
  </si>
  <si>
    <t>Retained earnings</t>
  </si>
  <si>
    <t>Equity - attributable to shareholders of Criteo S.A.</t>
  </si>
  <si>
    <t>Non-controlling interests</t>
  </si>
  <si>
    <t>Total equity</t>
  </si>
  <si>
    <t>Total equity and liabilities</t>
  </si>
  <si>
    <t>Revenue</t>
  </si>
  <si>
    <t>Cost of revenue</t>
  </si>
  <si>
    <t>Traffic acquisition cost</t>
  </si>
  <si>
    <t>Other cost of revenue</t>
  </si>
  <si>
    <t>Gross profit</t>
  </si>
  <si>
    <t>Operating expenses:</t>
  </si>
  <si>
    <t>Research and development expenses</t>
  </si>
  <si>
    <t>Sales and operations expenses</t>
  </si>
  <si>
    <t>General and administrative expenses</t>
  </si>
  <si>
    <t>Total Operating expenses</t>
  </si>
  <si>
    <t>Income from operations</t>
  </si>
  <si>
    <t>Financial income (expense)</t>
  </si>
  <si>
    <t>Income before taxes</t>
  </si>
  <si>
    <t>Provision for income taxes</t>
  </si>
  <si>
    <t>Net Income</t>
  </si>
  <si>
    <t>Net income available to shareholders of Criteo S.A</t>
  </si>
  <si>
    <t>Net income available to non-controlling interests</t>
  </si>
  <si>
    <t>Weighted average shares outstanding used in computing per share amounts:</t>
  </si>
  <si>
    <t>Basic</t>
  </si>
  <si>
    <t>Diluted</t>
  </si>
  <si>
    <t>Net income allocated  to shareholders per share:</t>
  </si>
  <si>
    <t>Net income</t>
  </si>
  <si>
    <t>Non-cash and non-operating items</t>
  </si>
  <si>
    <t>- Amortization and provisions</t>
  </si>
  <si>
    <t>- Net gain or loss on disposal of non-current assets</t>
  </si>
  <si>
    <t>- Interest accrued and non-cash financial income and expenses</t>
  </si>
  <si>
    <t>- Change in deferred taxes</t>
  </si>
  <si>
    <t>Changes in working capital related to operating activities</t>
  </si>
  <si>
    <t>- (Increase)/decrease in trade receivables</t>
  </si>
  <si>
    <t>- Increase/(decrease) in trade payables</t>
  </si>
  <si>
    <t>- (Increase)/decrease in other current assets</t>
  </si>
  <si>
    <t>Income taxes paid</t>
  </si>
  <si>
    <t>CASH FROM OPERATING ACTIVITIES</t>
  </si>
  <si>
    <t>Acquisition of intangible assets, property, plant and equipment</t>
  </si>
  <si>
    <t>Change in accounts payable related to intangible assets, property, plant and equipment</t>
  </si>
  <si>
    <t>Change in other non-current financial assets</t>
  </si>
  <si>
    <t>CASH USED FOR INVESTING ACTIVITIES</t>
  </si>
  <si>
    <t>Issuance of long-term borrowings</t>
  </si>
  <si>
    <t>Repayment of borrowings</t>
  </si>
  <si>
    <t>CASH FROM (USED FOR) FINANCING ACTIVITIES</t>
  </si>
  <si>
    <t>CHANGE IN NET CASH AND CASH EQUIVALENTS</t>
  </si>
  <si>
    <t>Net cash and cash equivalents at beginning of period</t>
  </si>
  <si>
    <t>Net cash and cash equivalents at end of period</t>
  </si>
  <si>
    <t>Proceeds from disposal of intangible assets, property, plant and equipment</t>
  </si>
  <si>
    <t>Region</t>
  </si>
  <si>
    <t>Americas</t>
  </si>
  <si>
    <t>EMEA</t>
  </si>
  <si>
    <t>Asia-Pacific</t>
  </si>
  <si>
    <t>Total</t>
  </si>
  <si>
    <t>Traffic acquisition costs</t>
  </si>
  <si>
    <t>Reconciliation of Adjusted EBITDA to Net income</t>
  </si>
  <si>
    <t>Adjustments:</t>
  </si>
  <si>
    <t>Financial (income) expense</t>
  </si>
  <si>
    <t>Equity awards compensation expense</t>
  </si>
  <si>
    <t>Research and development</t>
  </si>
  <si>
    <t>Sales and operations</t>
  </si>
  <si>
    <t>General and administrative</t>
  </si>
  <si>
    <t>Pension service costs</t>
  </si>
  <si>
    <t>Depreciation and amortization expense</t>
  </si>
  <si>
    <t>Acquisition-related costs</t>
  </si>
  <si>
    <t>Acquisition-related deferred price consideration</t>
  </si>
  <si>
    <t>Restructuring costs</t>
  </si>
  <si>
    <t>Total net adjustments</t>
  </si>
  <si>
    <t>Research and Development expenses</t>
  </si>
  <si>
    <t>Depreciation and Amortization expense</t>
  </si>
  <si>
    <t>Restructuring</t>
  </si>
  <si>
    <t>Non GAAP - Research and Development expenses</t>
  </si>
  <si>
    <t>Sales and Operations expenses</t>
  </si>
  <si>
    <t>Non GAAP - Sales and Operations expenses</t>
  </si>
  <si>
    <t>General and Administrative expenses</t>
  </si>
  <si>
    <t>Acquisition related costs</t>
  </si>
  <si>
    <t>Non GAAP - General and Administrative expenses</t>
  </si>
  <si>
    <t>Total equity awards compensation expense</t>
  </si>
  <si>
    <t>Total pension service costs</t>
  </si>
  <si>
    <t>Total depreciation and amortization expense</t>
  </si>
  <si>
    <t>Total acquisition-related costs</t>
  </si>
  <si>
    <t>Total acquisition-related deferred price consideration</t>
  </si>
  <si>
    <t>Total restructuring</t>
  </si>
  <si>
    <t>Amortization of acquisition-related intangible assets</t>
  </si>
  <si>
    <t>Restructuring Costs</t>
  </si>
  <si>
    <t>Tax impact of the above adjustments</t>
  </si>
  <si>
    <t>Weighted average shares outstanding</t>
  </si>
  <si>
    <t>- Basic</t>
  </si>
  <si>
    <t>- Diluted</t>
  </si>
  <si>
    <t>Adjusted net income per share</t>
  </si>
  <si>
    <t>Weighted average number of shares issued during the period</t>
  </si>
  <si>
    <t>Basic number of shares - Basic EPS basis</t>
  </si>
  <si>
    <t>Dilutive effect of  share options, warrants, employee warrants - Treasury method</t>
  </si>
  <si>
    <t>Diluted number of shares - Diluted EPS basis</t>
  </si>
  <si>
    <t>Total dilutive effect of share options, warrants, employee warrants</t>
  </si>
  <si>
    <t>Q4
2015</t>
  </si>
  <si>
    <t>Q1
2016</t>
  </si>
  <si>
    <t>Q2
2016</t>
  </si>
  <si>
    <t>Q3
2016</t>
  </si>
  <si>
    <t>Clients</t>
  </si>
  <si>
    <t>Revenue</t>
  </si>
  <si>
    <t>APAC</t>
  </si>
  <si>
    <t>TAC</t>
  </si>
  <si>
    <t>Revenue ex-TAC</t>
  </si>
  <si>
    <t>Cash flow from operating activities</t>
  </si>
  <si>
    <t>Capital expenditures</t>
  </si>
  <si>
    <t>Capital expenditures / Revenue</t>
  </si>
  <si>
    <t>Net cash position</t>
  </si>
  <si>
    <t>Headcount</t>
  </si>
  <si>
    <t>Q1 2018</t>
  </si>
  <si>
    <t>Q1 2017</t>
  </si>
  <si>
    <t>Common shares, €0.025 par value</t>
  </si>
  <si>
    <t>FY 2017</t>
  </si>
  <si>
    <t>FY 2016</t>
  </si>
  <si>
    <t>Q4 2016</t>
  </si>
  <si>
    <t>Q4 2017</t>
  </si>
  <si>
    <t>Q2 2017</t>
  </si>
  <si>
    <t>Q3 2017</t>
  </si>
  <si>
    <t>Q3 2016</t>
  </si>
  <si>
    <t>Q2 2016</t>
  </si>
  <si>
    <t>Q1 2016</t>
  </si>
  <si>
    <t>FY 2015</t>
  </si>
  <si>
    <t>Q1 2015</t>
  </si>
  <si>
    <t>Q4 2015</t>
  </si>
  <si>
    <t>Q3 2015</t>
  </si>
  <si>
    <t>Q2 2015</t>
  </si>
  <si>
    <t>September 30,</t>
  </si>
  <si>
    <t>June 30,</t>
  </si>
  <si>
    <t>Q3
2015</t>
  </si>
  <si>
    <t>Q1
2015</t>
  </si>
  <si>
    <t>Q2
2015</t>
  </si>
  <si>
    <t>Consolidated Statement of Financial Position</t>
  </si>
  <si>
    <t>(U.S. dollars in thousands) (unaudited)</t>
  </si>
  <si>
    <t>Consolidated Statement of Income</t>
  </si>
  <si>
    <t>(U.S. dollars in thousands, except share and per share data) (unaudited)</t>
  </si>
  <si>
    <t>Consolidated Statement of Cash Flows</t>
  </si>
  <si>
    <t>Reconciliation of Cash from Operating Activities to Free Cash Flow</t>
  </si>
  <si>
    <t>Reconciliation of Revenue ex-TAC by Region to Revenue by Region</t>
  </si>
  <si>
    <t>Reconciliation from Non-GAAP Operating Expenses to Operating Expenses under GAAP</t>
  </si>
  <si>
    <t>Detailed Information on Selected Items</t>
  </si>
  <si>
    <t>Reconciliation of Adjusted Net Income to Net Income</t>
  </si>
  <si>
    <t>(U.S. dollars in thousands except share and per share data) (unaudited)</t>
  </si>
  <si>
    <t>Information on Share Count</t>
  </si>
  <si>
    <t>(unaudited)</t>
  </si>
  <si>
    <t>Supplemental Financial Information and Operating Metrics</t>
  </si>
  <si>
    <t>(U.S. dollars in thousands except where stated) (unaudited)</t>
  </si>
  <si>
    <t>(1) Free Cash Flow is defined as cash flow from operating activities less acquisition of intangible assets, property, plant and equipment and change in accounts payable related to intangible assets, property, plant and equipment.</t>
  </si>
  <si>
    <t>Revenue ex-TAC (1)</t>
  </si>
  <si>
    <t>(1) We define Revenue ex-TAC as our revenue excluding traffic acquisition costs generated over the applicable measurement period. Revenue ex-TAC and Revenue, Traffic Acquisition Costs and Revenue ex-TAC by Region are not measures calculated in accordance with U.S. GAAP. We have included Revenue ex-TAC and Revenue, Traffic Acquisition Costs and Revenue ex-TAC by Region because they are key measures used by our management and board of directors to evaluate operating performance, generate future operating plans and make strategic decisions regarding the allocation of capital. In particular, we believe that the elimination of TAC from revenue and review of these measures by region can provide useful measures for period-to-period comparisons of our business. Accordingly, we believe that Revenue ex-TAC and Revenue, Traffic Acquisition Costs and Revenue ex-TAC by Region provide useful information to investors and others in understanding and evaluating our results of operations in the same manner as our management and board of directors. Our use of Revenue ex-TAC and Revenue, Traffic Acquisition Costs and Revenue ex-TAC by Region has limitations as an analytical tool, and you should not consider them in isolation or as a substitute for analysis of our financial results as reported under U.S. GAAP. Some of these limitations are: (a) other companies, including companies in our industry which have similar business arrangements, may address the impact of TAC differently; (b) other companies may report Revenue, Traffic Acquisition Costs and Revenue ex-TAC by Region or similarly titled measures but define the regions differently, which reduces their effectiveness as a comparative measure; and (c) other companies may report Revenue ex-TAC or similarly titled measures but calculate them differently, which reduces their usefulness as a comparative measure. Because of these and other limitations, you should consider Revenue ex-TAC and Revenue, Traffic Acquisition Costs and Revenue ex-TAC by Region alongside our other U.S. GAAP financial results, including revenue. The above table provides a reconciliation of Revenue ex-TAC to revenue and Revenue ex-TAC by Region to revenue by region.</t>
  </si>
  <si>
    <t>Adjusted EBITDA (1)</t>
  </si>
  <si>
    <t>(1) We define Adjusted EBITDA as our consolidated earnings before financial income (expense), income taxes, depreciation and amortization, adjusted to eliminate the impact of equity awards compensation expense, pension service costs, restructuring costs, acquisition-related costs and deferred price consideration. Adjusted EBITDA is not a measure calculated in accordance with U.S. GAAP. We have included Adjusted EBITDA because it is a key measure used by our management and board of directors to understand and evaluate our core operating performance and trends, to prepare and approve our annual budget and to develop short-term and long-term operational plans. In particular, we believe that the elimination of equity awards compensation expense, pension service costs, restructuring costs, acquisition-related costs and deferred price consideration in calculating Adjusted EBITDA can provide a useful measure for period-to-period comparisons of our business. Accordingly, we believe that Adjusted EBITDA provides useful information to investors and others in understanding and evaluating our results of operations in the same manner as our management and board of directors. Our use of Adjusted EBITDA has limitations as an analytical tool, and you should not consider it in isolation or as a substitute for analysis of our financial results as reported under U.S. GAAP. Some of these limitations are: (a) although depreciation and amortization are non-cash charges, the assets being depreciated and amortized may have to be replaced in the future, and Adjusted EBITDA does not reflect cash capital expenditure requirements for such replacements or for new capital expenditure requirements; (b) Adjusted EBITDA does not reflect changes in, or cash requirements for, our working capital needs; (c) Adjusted EBITDA does not reflect the potentially dilutive impact of equity-based compensation; (d) Adjusted EBITDA does not reflect tax payments that may represent a reduction in cash available to us; and (e) other companies, including companies in our industry, may calculate Adjusted EBITDA or similarly titled measures differently, which reduces their usefulness as a comparative measure. Because of these and other limitations, you should consider Adjusted EBITDA alongside our U.S. GAAP financial results, including net income.</t>
  </si>
  <si>
    <t>Total Non GAAP Operating expenses (1)</t>
  </si>
  <si>
    <t>(1) We define Non-GAAP Operating Expenses as our consolidated operating expenses adjusted to eliminate the impact of depreciation and amortization, equity awards compensation expense, pension service costs, restructuring costs, acquisition-related costs and deferred price consideration. The Company uses Non-GAAP Operating Expenses to understand and compare operating results across accounting periods, for internal budgeting and forecasting purposes, for short-term and long-term operational plans, and to assess and measure our financial performance and the ability of our operations to generate cash. We believe Non-GAAP Operating Expenses reflects our ongoing operating expenses in a manner that allows for meaningful period-to-period comparisons and analysis of trends in our business. As a result, we believe that Non-GAAP Operating Expenses provides useful information to investors in understanding and evaluating our core operating performance and trends in the same manner as our management and in comparing financial results across periods. In addition, Non-GAAP Operating Expenses is a key component in calculating Adjusted EBITDA, which is one of the key measures we use to provide our quarterly and annual business outlook to the investment community.</t>
  </si>
  <si>
    <t>(1) We define Adjusted Net Income as our net income adjusted to eliminate the impact of equity awards compensation expense, amortization of acquisition-related intangible assets, restructuring costs, acquisition-related costs and deferred price consideration and the tax impact of the foregoing adjustments. Adjusted Net Income is not a measure calculated in accordance with U.S. GAAP. We have included Adjusted Net Income because it is a key measure used by our management and board of directors to evaluate operating performance, generate future operating plans and make strategic decisions regarding the allocation of capital. In particular, we believe that the elimination of equity awards compensation expense, amortization of acquisition-related intangible assets, acquisition-related costs and deferred price consideration, restructuring costs and the tax impact of the foregoing adjustments in calculating Adjusted Net Income can provide a useful measure for period-to-period comparisons of our business. Accordingly, we believe that Adjusted Net Income provides useful information to investors and others in understanding and evaluating our results of operations in the same manner as our management and board of directors. Our use of Adjusted Net Income has limitations as an analytical tool, and you should not consider it in isolation or as a substitute for analysis of our financial results as reported under U.S. GAAP. Some of these limitations are: (a) Adjusted Net Income does not reflect the potentially dilutive impact of equity-based compensation or the impact of certain acquisition related costs; and (b) other companies, including companies in our industry, may calculate Adjusted Net Income or similarly titled measures differently, which reduces their usefulness as a comparative measure. Because of these and other limitations, you should consider Adjusted Net Income alongside our other U.S. GAAP-based financial results, including net income.</t>
  </si>
  <si>
    <t>Six Months Ended</t>
  </si>
  <si>
    <t>Three Months Ended</t>
  </si>
  <si>
    <t>Nine Months Ended</t>
  </si>
  <si>
    <t>Twelve Months Ended</t>
  </si>
  <si>
    <t>- Equity awards compensation expense</t>
  </si>
  <si>
    <r>
      <t xml:space="preserve">FREE CASH FLOW </t>
    </r>
    <r>
      <rPr>
        <b/>
        <vertAlign val="superscript"/>
        <sz val="10"/>
        <color rgb="FF000000"/>
        <rFont val="Arial"/>
        <family val="2"/>
        <scheme val="minor"/>
      </rPr>
      <t>(1)</t>
    </r>
  </si>
  <si>
    <r>
      <t>Adjusted net income</t>
    </r>
    <r>
      <rPr>
        <b/>
        <vertAlign val="superscript"/>
        <sz val="10"/>
        <color rgb="FF000000"/>
        <rFont val="Arial"/>
        <family val="2"/>
        <scheme val="minor"/>
      </rPr>
      <t>(1)</t>
    </r>
  </si>
  <si>
    <t>Q4
 2016</t>
  </si>
  <si>
    <t>Q1
 2017</t>
  </si>
  <si>
    <t>Q2
 2017</t>
  </si>
  <si>
    <t>Q3
 2017</t>
  </si>
  <si>
    <t>Q4 
2017</t>
  </si>
  <si>
    <t>Q1 
2018</t>
  </si>
  <si>
    <t>(1) Adjusted EBITDA is not a measure calculated in accordance with U.S. GAAP. See the table entitled "Reconciliation of Adjusted EBITDA to Net Income" for a reconciliation of Adjusted EBITDA to net income.</t>
  </si>
  <si>
    <t>Effect of exchange rates changes on cash and cash equivalents (1)</t>
  </si>
  <si>
    <t>Change in other financial liabilities (1)</t>
  </si>
  <si>
    <t>- Increase/(decrease) in other current liabilities (1)</t>
  </si>
  <si>
    <t>- Other (1)</t>
  </si>
  <si>
    <t>(2)  Due to the conversion from IFRS (euros) to U.S. GAAP (U.S. dollars), the Days Sales Outstanding for historic quarters has not been recalculated and is not available.</t>
  </si>
  <si>
    <t>Days Sales Outstanding (days - end of month) (2)</t>
  </si>
  <si>
    <t>Shares outstanding as at January 1</t>
  </si>
  <si>
    <t>Fully diluted shares as at end of Quarter</t>
  </si>
  <si>
    <t>Q2 2018</t>
  </si>
  <si>
    <t>Q2 
2018</t>
  </si>
  <si>
    <t>(1) Since Q3 2017, the Company reported the cash impact of the settlement of hedging derivatives related to financing activities in cash from (used for) financing activities in the unaudited consolidated statements of cash flows.</t>
  </si>
  <si>
    <t>Q3 2018</t>
  </si>
  <si>
    <t>9/30/17</t>
  </si>
  <si>
    <t>Q3
2018</t>
  </si>
  <si>
    <r>
      <t xml:space="preserve">Treasury stock, </t>
    </r>
    <r>
      <rPr>
        <i/>
        <sz val="7"/>
        <color rgb="FF000000"/>
        <rFont val="Arial"/>
        <family val="2"/>
      </rPr>
      <t>3,459,119 shares at cost as of December 31, 2018</t>
    </r>
  </si>
  <si>
    <t>Q4 2018</t>
  </si>
  <si>
    <t>FY 2018</t>
  </si>
  <si>
    <t>Change in treasury stock</t>
  </si>
  <si>
    <t>Shares outstanding as at end of Quarter, after treasury stocks</t>
  </si>
  <si>
    <t>Q4
2018</t>
  </si>
  <si>
    <t>Right of Use Asset - operating lease</t>
  </si>
  <si>
    <t>Lease liability - operating - current portion</t>
  </si>
  <si>
    <t>Q1 2019</t>
  </si>
  <si>
    <t>- Change in lease liabilities and right of use assets</t>
  </si>
  <si>
    <t>Q1
2019</t>
  </si>
  <si>
    <t>Payments for (disposal of) acquired business, net of cash acquired (disposed)</t>
  </si>
  <si>
    <t>Lease liability - operating - non current portion</t>
  </si>
  <si>
    <t>Shares issued as of end of Quarter, before treasury stocks</t>
  </si>
  <si>
    <t>Treasury stock as of end of Quarter</t>
  </si>
  <si>
    <t>Net payments related to equity award activities</t>
  </si>
  <si>
    <t>Q2 2019</t>
  </si>
  <si>
    <t>- Change in income taxes</t>
  </si>
  <si>
    <t>Income tax for the period</t>
  </si>
  <si>
    <t>SUPPLEMENTAL DISCLOSURE OF CASH FLOW INFORMATION</t>
  </si>
  <si>
    <t>Cash paid for taxes</t>
  </si>
  <si>
    <t>Cash paid for interest, net of amounts capitalized</t>
  </si>
  <si>
    <t>Q2
2019</t>
  </si>
  <si>
    <t>New disclosure implemented as of Q2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</si>
</sst>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_(&quot;$&quot;* \(#,##0\);_(&quot;$&quot;* &quot;—&quot;_);_(@_)"/>
    <numFmt numFmtId="165" formatCode="_(#,##0_);_(\(#,##0\);_(&quot;—&quot;_);_(@_)"/>
    <numFmt numFmtId="166" formatCode="#,##0_)%;\(#,##0\)%;&quot;—&quot;\%;_(@_)"/>
    <numFmt numFmtId="167" formatCode="_(&quot;$&quot;* #,##0.00_);_(&quot;$&quot;* \(#,##0.00\);_(&quot;$&quot;* &quot;—&quot;_);_(@_)"/>
    <numFmt numFmtId="168" formatCode="m/d/yy;@"/>
    <numFmt numFmtId="169" formatCode="0.0%"/>
  </numFmts>
  <fonts count="15" x14ac:knownFonts="1">
    <font>
      <sz val="10"/>
      <color rgb="FF000000"/>
      <name val="Times New Roman"/>
    </font>
    <font>
      <b/>
      <sz val="10"/>
      <color rgb="FF000000"/>
      <name val="Arial"/>
      <family val="2"/>
      <scheme val="minor"/>
    </font>
    <font>
      <sz val="10"/>
      <color rgb="FF000000"/>
      <name val="Arial"/>
      <family val="2"/>
      <scheme val="minor"/>
    </font>
    <font>
      <sz val="10"/>
      <color rgb="FF0000FF"/>
      <name val="Arial"/>
      <family val="2"/>
      <scheme val="minor"/>
    </font>
    <font>
      <i/>
      <sz val="10"/>
      <color rgb="FF000000"/>
      <name val="Arial"/>
      <family val="2"/>
      <scheme val="minor"/>
    </font>
    <font>
      <sz val="10"/>
      <name val="Arial"/>
      <family val="2"/>
      <scheme val="minor"/>
    </font>
    <font>
      <b/>
      <sz val="10"/>
      <name val="Arial"/>
      <family val="2"/>
      <scheme val="minor"/>
    </font>
    <font>
      <b/>
      <vertAlign val="superscript"/>
      <sz val="10"/>
      <color rgb="FF000000"/>
      <name val="Arial"/>
      <family val="2"/>
      <scheme val="minor"/>
    </font>
    <font>
      <b/>
      <sz val="10"/>
      <color rgb="FF333333"/>
      <name val="Arial"/>
      <family val="2"/>
      <scheme val="minor"/>
    </font>
    <font>
      <sz val="10"/>
      <color rgb="FF333333"/>
      <name val="Arial"/>
      <family val="2"/>
      <scheme val="minor"/>
    </font>
    <font>
      <b/>
      <sz val="10"/>
      <color rgb="FF0000FF"/>
      <name val="Arial"/>
      <family val="2"/>
      <scheme val="minor"/>
    </font>
    <font>
      <vertAlign val="superscript"/>
      <sz val="10"/>
      <color rgb="FF000000"/>
      <name val="Arial"/>
      <family val="2"/>
      <scheme val="minor"/>
    </font>
    <font>
      <sz val="10"/>
      <color rgb="FF000000"/>
      <name val="Times New Roman"/>
      <family val="1"/>
    </font>
    <font>
      <i/>
      <sz val="7"/>
      <color rgb="FF000000"/>
      <name val="Arial"/>
      <family val="2"/>
    </font>
    <font>
      <i/>
      <sz val="10"/>
      <color rgb="FFFF0000"/>
      <name val="Arial"/>
      <family val="2"/>
      <scheme val="minor"/>
    </font>
  </fonts>
  <fills count="3">
    <fill>
      <patternFill patternType="none"/>
    </fill>
    <fill>
      <patternFill patternType="gray125"/>
    </fill>
    <fill>
      <patternFill patternType="solid">
        <fgColor theme="2"/>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2">
    <xf numFmtId="0" fontId="0" fillId="0" borderId="0"/>
    <xf numFmtId="9" fontId="12" fillId="0" borderId="0" applyFont="0" applyFill="0" applyBorder="0" applyAlignment="0" applyProtection="0"/>
  </cellStyleXfs>
  <cellXfs count="180">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xf>
    <xf numFmtId="0" fontId="2" fillId="0" borderId="3" xfId="0" applyFont="1" applyBorder="1" applyAlignment="1"/>
    <xf numFmtId="0" fontId="2" fillId="0" borderId="2" xfId="0" applyFont="1" applyBorder="1" applyAlignment="1">
      <alignment wrapText="1"/>
    </xf>
    <xf numFmtId="0" fontId="2" fillId="0" borderId="4" xfId="0" applyFont="1" applyBorder="1" applyAlignment="1">
      <alignment wrapText="1"/>
    </xf>
    <xf numFmtId="0" fontId="2" fillId="0" borderId="1" xfId="0" applyFont="1" applyBorder="1" applyAlignment="1">
      <alignment wrapText="1"/>
    </xf>
    <xf numFmtId="0" fontId="2" fillId="0" borderId="3" xfId="0" applyFont="1" applyBorder="1" applyAlignment="1">
      <alignment wrapText="1"/>
    </xf>
    <xf numFmtId="165" fontId="2" fillId="0" borderId="0" xfId="0" applyNumberFormat="1" applyFont="1" applyAlignment="1">
      <alignment horizontal="left"/>
    </xf>
    <xf numFmtId="0" fontId="4" fillId="0" borderId="0" xfId="0" applyFont="1" applyAlignment="1">
      <alignment wrapText="1"/>
    </xf>
    <xf numFmtId="0" fontId="2" fillId="0" borderId="5" xfId="0" applyFont="1" applyBorder="1" applyAlignment="1">
      <alignment wrapText="1"/>
    </xf>
    <xf numFmtId="0" fontId="1" fillId="0" borderId="1" xfId="0" applyFont="1" applyBorder="1" applyAlignment="1">
      <alignment horizontal="right" vertical="center" wrapText="1"/>
    </xf>
    <xf numFmtId="0" fontId="1" fillId="0" borderId="2" xfId="0" applyFont="1" applyBorder="1" applyAlignment="1">
      <alignment horizontal="right" wrapText="1"/>
    </xf>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xf numFmtId="0" fontId="2" fillId="2" borderId="0" xfId="0" applyFont="1" applyFill="1" applyAlignment="1">
      <alignment horizontal="left"/>
    </xf>
    <xf numFmtId="0" fontId="2" fillId="0" borderId="0" xfId="0" applyFont="1" applyAlignment="1">
      <alignment wrapText="1" indent="5"/>
    </xf>
    <xf numFmtId="0" fontId="2" fillId="0" borderId="0" xfId="0" applyFont="1" applyFill="1" applyAlignment="1">
      <alignment horizontal="left"/>
    </xf>
    <xf numFmtId="0" fontId="1" fillId="2" borderId="2" xfId="0" applyFont="1" applyFill="1" applyBorder="1" applyAlignment="1">
      <alignment horizontal="right" wrapText="1"/>
    </xf>
    <xf numFmtId="164" fontId="6" fillId="2" borderId="2" xfId="0" applyNumberFormat="1" applyFont="1" applyFill="1" applyBorder="1" applyAlignment="1"/>
    <xf numFmtId="0" fontId="2" fillId="2" borderId="0" xfId="0" applyFont="1" applyFill="1" applyAlignment="1">
      <alignment wrapText="1"/>
    </xf>
    <xf numFmtId="0" fontId="1" fillId="0" borderId="0" xfId="0" applyFont="1" applyFill="1" applyAlignment="1"/>
    <xf numFmtId="0" fontId="2" fillId="0" borderId="0" xfId="0" applyFont="1" applyAlignment="1"/>
    <xf numFmtId="0" fontId="1" fillId="0" borderId="0" xfId="0" applyFont="1" applyAlignment="1"/>
    <xf numFmtId="0" fontId="2" fillId="0" borderId="0" xfId="0" quotePrefix="1" applyFont="1" applyAlignment="1">
      <alignment vertical="center"/>
    </xf>
    <xf numFmtId="0" fontId="2" fillId="0" borderId="0" xfId="0" applyFont="1" applyAlignment="1">
      <alignment vertical="center"/>
    </xf>
    <xf numFmtId="0" fontId="1" fillId="0" borderId="1" xfId="0" applyFont="1" applyBorder="1" applyAlignment="1">
      <alignment wrapText="1"/>
    </xf>
    <xf numFmtId="0" fontId="1" fillId="0" borderId="1" xfId="0" applyFont="1" applyBorder="1" applyAlignment="1">
      <alignment horizontal="right" wrapText="1"/>
    </xf>
    <xf numFmtId="0" fontId="1" fillId="2" borderId="1" xfId="0" applyFont="1" applyFill="1" applyBorder="1" applyAlignment="1">
      <alignment horizontal="right" wrapText="1"/>
    </xf>
    <xf numFmtId="0" fontId="4" fillId="0" borderId="0" xfId="0" applyFont="1" applyAlignment="1">
      <alignment horizontal="right" wrapText="1"/>
    </xf>
    <xf numFmtId="0" fontId="1" fillId="0" borderId="0" xfId="0" applyFont="1" applyAlignment="1">
      <alignment horizontal="left"/>
    </xf>
    <xf numFmtId="0" fontId="8" fillId="0" borderId="0" xfId="0" applyFont="1" applyAlignment="1">
      <alignment wrapText="1"/>
    </xf>
    <xf numFmtId="0" fontId="2" fillId="0" borderId="3" xfId="0" applyFont="1" applyBorder="1" applyAlignment="1">
      <alignment horizontal="left"/>
    </xf>
    <xf numFmtId="0" fontId="2" fillId="2" borderId="3" xfId="0" applyFont="1" applyFill="1" applyBorder="1" applyAlignment="1">
      <alignment horizontal="left"/>
    </xf>
    <xf numFmtId="0" fontId="2" fillId="0" borderId="0" xfId="0" applyFont="1" applyBorder="1" applyAlignment="1">
      <alignment horizontal="left"/>
    </xf>
    <xf numFmtId="0" fontId="2" fillId="2" borderId="0" xfId="0" applyFont="1" applyFill="1" applyBorder="1" applyAlignment="1">
      <alignment horizontal="left"/>
    </xf>
    <xf numFmtId="0" fontId="9" fillId="0" borderId="0" xfId="0" applyFont="1" applyAlignment="1">
      <alignment wrapText="1"/>
    </xf>
    <xf numFmtId="0" fontId="8" fillId="0" borderId="0" xfId="0" applyFont="1" applyAlignment="1">
      <alignment horizontal="right" wrapText="1"/>
    </xf>
    <xf numFmtId="0" fontId="8" fillId="0" borderId="0" xfId="0" applyFont="1" applyAlignment="1">
      <alignment horizontal="left"/>
    </xf>
    <xf numFmtId="0" fontId="2" fillId="0" borderId="0" xfId="0" applyFont="1" applyAlignment="1">
      <alignment horizontal="right" wrapText="1"/>
    </xf>
    <xf numFmtId="0" fontId="1" fillId="0" borderId="3" xfId="0" applyFont="1" applyFill="1" applyBorder="1" applyAlignment="1">
      <alignment horizontal="right" wrapText="1"/>
    </xf>
    <xf numFmtId="0" fontId="1" fillId="0" borderId="2" xfId="0" applyFont="1" applyBorder="1" applyAlignment="1">
      <alignment wrapText="1"/>
    </xf>
    <xf numFmtId="168" fontId="1" fillId="0" borderId="1" xfId="0" applyNumberFormat="1" applyFont="1" applyBorder="1" applyAlignment="1">
      <alignment horizontal="right"/>
    </xf>
    <xf numFmtId="168" fontId="1" fillId="0" borderId="1" xfId="0" applyNumberFormat="1" applyFont="1" applyBorder="1" applyAlignment="1">
      <alignment horizontal="right" wrapText="1"/>
    </xf>
    <xf numFmtId="168" fontId="1" fillId="0" borderId="1" xfId="0" applyNumberFormat="1" applyFont="1" applyFill="1" applyBorder="1" applyAlignment="1">
      <alignment horizontal="right" wrapText="1"/>
    </xf>
    <xf numFmtId="0" fontId="1" fillId="0" borderId="7" xfId="0" applyFont="1" applyBorder="1" applyAlignment="1">
      <alignment horizontal="center" wrapText="1"/>
    </xf>
    <xf numFmtId="0" fontId="2" fillId="0" borderId="9" xfId="0" applyFont="1" applyBorder="1" applyAlignment="1">
      <alignment horizontal="left"/>
    </xf>
    <xf numFmtId="0" fontId="2" fillId="0" borderId="8" xfId="0" applyFont="1" applyBorder="1" applyAlignment="1">
      <alignment horizontal="left"/>
    </xf>
    <xf numFmtId="0" fontId="1" fillId="0" borderId="10" xfId="0" applyFont="1" applyBorder="1" applyAlignment="1">
      <alignment wrapText="1"/>
    </xf>
    <xf numFmtId="0" fontId="2" fillId="0" borderId="10" xfId="0" applyFont="1" applyBorder="1" applyAlignment="1">
      <alignment horizontal="left"/>
    </xf>
    <xf numFmtId="0" fontId="2" fillId="0" borderId="10" xfId="0" applyFont="1" applyBorder="1" applyAlignment="1">
      <alignment wrapText="1"/>
    </xf>
    <xf numFmtId="0" fontId="1" fillId="0" borderId="10" xfId="0" applyFont="1" applyBorder="1" applyAlignment="1">
      <alignment vertical="center" wrapText="1"/>
    </xf>
    <xf numFmtId="0" fontId="1" fillId="0" borderId="10" xfId="0" applyFont="1" applyBorder="1" applyAlignment="1">
      <alignment horizontal="left" vertical="center"/>
    </xf>
    <xf numFmtId="165" fontId="11" fillId="0" borderId="0" xfId="0" applyNumberFormat="1" applyFont="1" applyAlignment="1"/>
    <xf numFmtId="0" fontId="2" fillId="0" borderId="0" xfId="0" applyFont="1" applyAlignment="1">
      <alignment wrapText="1"/>
    </xf>
    <xf numFmtId="164" fontId="3" fillId="0" borderId="0" xfId="0" applyNumberFormat="1" applyFont="1" applyFill="1" applyAlignment="1"/>
    <xf numFmtId="164" fontId="3" fillId="0" borderId="3" xfId="0" applyNumberFormat="1" applyFont="1" applyFill="1" applyBorder="1" applyAlignment="1"/>
    <xf numFmtId="164" fontId="2" fillId="0" borderId="5" xfId="0" applyNumberFormat="1" applyFont="1" applyFill="1" applyBorder="1" applyAlignment="1"/>
    <xf numFmtId="0" fontId="1" fillId="0" borderId="0" xfId="0" applyFont="1" applyFill="1" applyAlignment="1">
      <alignment horizontal="center"/>
    </xf>
    <xf numFmtId="165" fontId="2" fillId="0" borderId="0" xfId="0" applyNumberFormat="1" applyFont="1" applyFill="1" applyAlignment="1">
      <alignment horizontal="left"/>
    </xf>
    <xf numFmtId="0" fontId="1" fillId="0" borderId="2" xfId="0" applyFont="1" applyFill="1" applyBorder="1" applyAlignment="1">
      <alignment horizontal="right" wrapText="1"/>
    </xf>
    <xf numFmtId="164" fontId="5" fillId="0" borderId="0" xfId="0" applyNumberFormat="1" applyFont="1" applyFill="1" applyAlignment="1"/>
    <xf numFmtId="164" fontId="2" fillId="0" borderId="0" xfId="0" applyNumberFormat="1" applyFont="1" applyFill="1" applyAlignment="1">
      <alignment horizontal="left"/>
    </xf>
    <xf numFmtId="165" fontId="5" fillId="0" borderId="0" xfId="0" applyNumberFormat="1" applyFont="1" applyFill="1" applyAlignment="1"/>
    <xf numFmtId="165" fontId="3" fillId="0" borderId="0" xfId="0" applyNumberFormat="1" applyFont="1" applyFill="1" applyAlignment="1"/>
    <xf numFmtId="165" fontId="2" fillId="0" borderId="5" xfId="0" applyNumberFormat="1" applyFont="1" applyFill="1" applyBorder="1" applyAlignment="1"/>
    <xf numFmtId="165" fontId="3" fillId="0" borderId="1" xfId="0" applyNumberFormat="1" applyFont="1" applyFill="1" applyBorder="1" applyAlignment="1"/>
    <xf numFmtId="165" fontId="2" fillId="0" borderId="2" xfId="0" applyNumberFormat="1" applyFont="1" applyFill="1" applyBorder="1" applyAlignment="1"/>
    <xf numFmtId="165" fontId="3" fillId="0" borderId="2" xfId="0" applyNumberFormat="1" applyFont="1" applyFill="1" applyBorder="1" applyAlignment="1"/>
    <xf numFmtId="164" fontId="2" fillId="0" borderId="4" xfId="0" applyNumberFormat="1" applyFont="1" applyFill="1" applyBorder="1" applyAlignment="1"/>
    <xf numFmtId="164" fontId="3" fillId="0" borderId="6" xfId="0" applyNumberFormat="1" applyFont="1" applyFill="1" applyBorder="1" applyAlignment="1"/>
    <xf numFmtId="167" fontId="2" fillId="0" borderId="4" xfId="0" applyNumberFormat="1" applyFont="1" applyFill="1" applyBorder="1" applyAlignment="1"/>
    <xf numFmtId="164" fontId="5" fillId="2" borderId="0" xfId="0" applyNumberFormat="1" applyFont="1" applyFill="1" applyAlignment="1"/>
    <xf numFmtId="164" fontId="2" fillId="2" borderId="0" xfId="0" applyNumberFormat="1" applyFont="1" applyFill="1" applyAlignment="1">
      <alignment horizontal="left"/>
    </xf>
    <xf numFmtId="165" fontId="5" fillId="2" borderId="0" xfId="0" applyNumberFormat="1" applyFont="1" applyFill="1" applyAlignment="1"/>
    <xf numFmtId="165" fontId="3" fillId="2" borderId="0" xfId="0" applyNumberFormat="1" applyFont="1" applyFill="1" applyAlignment="1"/>
    <xf numFmtId="165" fontId="2" fillId="2" borderId="0" xfId="0" applyNumberFormat="1" applyFont="1" applyFill="1" applyAlignment="1">
      <alignment horizontal="left"/>
    </xf>
    <xf numFmtId="165" fontId="2" fillId="2" borderId="5" xfId="0" applyNumberFormat="1" applyFont="1" applyFill="1" applyBorder="1" applyAlignment="1"/>
    <xf numFmtId="165" fontId="3" fillId="2" borderId="1" xfId="0" applyNumberFormat="1" applyFont="1" applyFill="1" applyBorder="1" applyAlignment="1"/>
    <xf numFmtId="165" fontId="2" fillId="2" borderId="2" xfId="0" applyNumberFormat="1" applyFont="1" applyFill="1" applyBorder="1" applyAlignment="1"/>
    <xf numFmtId="165" fontId="3" fillId="2" borderId="2" xfId="0" applyNumberFormat="1" applyFont="1" applyFill="1" applyBorder="1" applyAlignment="1"/>
    <xf numFmtId="164" fontId="2" fillId="2" borderId="4" xfId="0" applyNumberFormat="1" applyFont="1" applyFill="1" applyBorder="1" applyAlignment="1"/>
    <xf numFmtId="164" fontId="3" fillId="2" borderId="6" xfId="0" applyNumberFormat="1" applyFont="1" applyFill="1" applyBorder="1" applyAlignment="1"/>
    <xf numFmtId="167" fontId="2" fillId="2" borderId="4" xfId="0" applyNumberFormat="1" applyFont="1" applyFill="1" applyBorder="1" applyAlignment="1"/>
    <xf numFmtId="164" fontId="6" fillId="0" borderId="2" xfId="0" applyNumberFormat="1" applyFont="1" applyFill="1" applyBorder="1" applyAlignment="1"/>
    <xf numFmtId="165" fontId="3" fillId="0" borderId="3" xfId="0" applyNumberFormat="1" applyFont="1" applyFill="1" applyBorder="1" applyAlignment="1"/>
    <xf numFmtId="165" fontId="3" fillId="0" borderId="0" xfId="0" applyNumberFormat="1" applyFont="1" applyFill="1" applyBorder="1" applyAlignment="1"/>
    <xf numFmtId="165" fontId="5" fillId="0" borderId="2" xfId="0" applyNumberFormat="1" applyFont="1" applyFill="1" applyBorder="1" applyAlignment="1"/>
    <xf numFmtId="164" fontId="5" fillId="0" borderId="2" xfId="0" applyNumberFormat="1" applyFont="1" applyFill="1" applyBorder="1" applyAlignment="1"/>
    <xf numFmtId="0" fontId="1" fillId="0" borderId="1" xfId="0" applyFont="1" applyFill="1" applyBorder="1" applyAlignment="1">
      <alignment horizontal="right" wrapText="1"/>
    </xf>
    <xf numFmtId="165" fontId="3" fillId="2" borderId="3" xfId="0" applyNumberFormat="1" applyFont="1" applyFill="1" applyBorder="1" applyAlignment="1"/>
    <xf numFmtId="165" fontId="5" fillId="2" borderId="2" xfId="0" applyNumberFormat="1" applyFont="1" applyFill="1" applyBorder="1" applyAlignment="1"/>
    <xf numFmtId="165" fontId="5" fillId="2" borderId="1" xfId="0" applyNumberFormat="1" applyFont="1" applyFill="1" applyBorder="1" applyAlignment="1"/>
    <xf numFmtId="164" fontId="1" fillId="2" borderId="2" xfId="0" applyNumberFormat="1" applyFont="1" applyFill="1" applyBorder="1" applyAlignment="1"/>
    <xf numFmtId="165" fontId="5" fillId="0" borderId="1" xfId="0" applyNumberFormat="1" applyFont="1" applyFill="1" applyBorder="1" applyAlignment="1"/>
    <xf numFmtId="164" fontId="1" fillId="0" borderId="2" xfId="0" applyNumberFormat="1" applyFont="1" applyFill="1" applyBorder="1" applyAlignment="1"/>
    <xf numFmtId="164" fontId="6" fillId="0" borderId="3" xfId="0" applyNumberFormat="1" applyFont="1" applyFill="1" applyBorder="1" applyAlignment="1"/>
    <xf numFmtId="0" fontId="3" fillId="0" borderId="0" xfId="0" applyFont="1" applyFill="1" applyAlignment="1">
      <alignment wrapText="1"/>
    </xf>
    <xf numFmtId="164" fontId="6" fillId="2" borderId="3" xfId="0" applyNumberFormat="1" applyFont="1" applyFill="1" applyBorder="1" applyAlignment="1"/>
    <xf numFmtId="0" fontId="3" fillId="2" borderId="0" xfId="0" applyFont="1" applyFill="1" applyAlignment="1">
      <alignment wrapText="1"/>
    </xf>
    <xf numFmtId="164" fontId="3" fillId="2" borderId="3" xfId="0" applyNumberFormat="1" applyFont="1" applyFill="1" applyBorder="1" applyAlignment="1"/>
    <xf numFmtId="164" fontId="6" fillId="0" borderId="0" xfId="0" applyNumberFormat="1" applyFont="1" applyFill="1" applyAlignment="1"/>
    <xf numFmtId="165" fontId="6" fillId="0" borderId="2" xfId="0" applyNumberFormat="1" applyFont="1" applyFill="1" applyBorder="1" applyAlignment="1"/>
    <xf numFmtId="165" fontId="1" fillId="0" borderId="2" xfId="0" applyNumberFormat="1" applyFont="1" applyFill="1" applyBorder="1" applyAlignment="1"/>
    <xf numFmtId="165" fontId="6" fillId="0" borderId="3" xfId="0" applyNumberFormat="1" applyFont="1" applyFill="1" applyBorder="1" applyAlignment="1"/>
    <xf numFmtId="165" fontId="5" fillId="0" borderId="3" xfId="0" applyNumberFormat="1" applyFont="1" applyFill="1" applyBorder="1" applyAlignment="1"/>
    <xf numFmtId="164" fontId="6" fillId="2" borderId="0" xfId="0" applyNumberFormat="1" applyFont="1" applyFill="1" applyAlignment="1"/>
    <xf numFmtId="165" fontId="6" fillId="2" borderId="2" xfId="0" applyNumberFormat="1" applyFont="1" applyFill="1" applyBorder="1" applyAlignment="1"/>
    <xf numFmtId="165" fontId="6" fillId="2" borderId="3" xfId="0" applyNumberFormat="1" applyFont="1" applyFill="1" applyBorder="1" applyAlignment="1"/>
    <xf numFmtId="165" fontId="1" fillId="2" borderId="2" xfId="0" applyNumberFormat="1" applyFont="1" applyFill="1" applyBorder="1" applyAlignment="1"/>
    <xf numFmtId="165" fontId="5" fillId="2" borderId="3" xfId="0" applyNumberFormat="1" applyFont="1" applyFill="1" applyBorder="1" applyAlignment="1"/>
    <xf numFmtId="165" fontId="1" fillId="0" borderId="5" xfId="0" applyNumberFormat="1" applyFont="1" applyFill="1" applyBorder="1" applyAlignment="1"/>
    <xf numFmtId="165" fontId="2" fillId="0" borderId="0" xfId="0" applyNumberFormat="1" applyFont="1" applyFill="1" applyAlignment="1"/>
    <xf numFmtId="164" fontId="1" fillId="0" borderId="5" xfId="0" applyNumberFormat="1" applyFont="1" applyFill="1" applyBorder="1" applyAlignment="1"/>
    <xf numFmtId="164" fontId="3" fillId="2" borderId="0" xfId="0" applyNumberFormat="1" applyFont="1" applyFill="1" applyAlignment="1"/>
    <xf numFmtId="165" fontId="1" fillId="2" borderId="5" xfId="0" applyNumberFormat="1" applyFont="1" applyFill="1" applyBorder="1" applyAlignment="1"/>
    <xf numFmtId="165" fontId="2" fillId="2" borderId="0" xfId="0" applyNumberFormat="1" applyFont="1" applyFill="1" applyAlignment="1"/>
    <xf numFmtId="164" fontId="1" fillId="2" borderId="5" xfId="0" applyNumberFormat="1" applyFont="1" applyFill="1" applyBorder="1" applyAlignment="1"/>
    <xf numFmtId="165" fontId="5" fillId="0" borderId="0" xfId="0" applyNumberFormat="1" applyFont="1" applyFill="1" applyBorder="1" applyAlignment="1"/>
    <xf numFmtId="165" fontId="5" fillId="2" borderId="0" xfId="0" applyNumberFormat="1" applyFont="1" applyFill="1" applyBorder="1" applyAlignment="1"/>
    <xf numFmtId="164" fontId="1" fillId="2" borderId="0" xfId="0" applyNumberFormat="1" applyFont="1" applyFill="1" applyAlignment="1"/>
    <xf numFmtId="165" fontId="2" fillId="2" borderId="3" xfId="0" applyNumberFormat="1" applyFont="1" applyFill="1" applyBorder="1" applyAlignment="1"/>
    <xf numFmtId="167" fontId="2" fillId="2" borderId="6" xfId="0" applyNumberFormat="1" applyFont="1" applyFill="1" applyBorder="1" applyAlignment="1"/>
    <xf numFmtId="164" fontId="1" fillId="0" borderId="0" xfId="0" applyNumberFormat="1" applyFont="1" applyFill="1" applyAlignment="1"/>
    <xf numFmtId="165" fontId="2" fillId="0" borderId="3" xfId="0" applyNumberFormat="1" applyFont="1" applyFill="1" applyBorder="1" applyAlignment="1"/>
    <xf numFmtId="167" fontId="2" fillId="0" borderId="6" xfId="0" applyNumberFormat="1" applyFont="1" applyFill="1" applyBorder="1" applyAlignment="1"/>
    <xf numFmtId="165" fontId="10" fillId="0" borderId="2" xfId="0" applyNumberFormat="1" applyFont="1" applyFill="1" applyBorder="1" applyAlignment="1"/>
    <xf numFmtId="165" fontId="10" fillId="0" borderId="11" xfId="0" applyNumberFormat="1" applyFont="1" applyFill="1" applyBorder="1" applyAlignment="1">
      <alignment horizontal="center"/>
    </xf>
    <xf numFmtId="0" fontId="2" fillId="0" borderId="11" xfId="0" applyFont="1" applyFill="1" applyBorder="1" applyAlignment="1">
      <alignment horizontal="left"/>
    </xf>
    <xf numFmtId="165" fontId="1" fillId="0" borderId="11" xfId="0" applyNumberFormat="1" applyFont="1" applyFill="1" applyBorder="1" applyAlignment="1">
      <alignment horizontal="center"/>
    </xf>
    <xf numFmtId="165" fontId="2" fillId="0" borderId="11" xfId="0" applyNumberFormat="1" applyFont="1" applyFill="1" applyBorder="1" applyAlignment="1">
      <alignment horizontal="center"/>
    </xf>
    <xf numFmtId="165" fontId="2" fillId="0" borderId="11" xfId="0" applyNumberFormat="1" applyFont="1" applyFill="1" applyBorder="1" applyAlignment="1">
      <alignment horizontal="left"/>
    </xf>
    <xf numFmtId="165" fontId="1" fillId="0" borderId="11" xfId="0" applyNumberFormat="1" applyFont="1" applyFill="1" applyBorder="1" applyAlignment="1">
      <alignment horizontal="center" vertical="center"/>
    </xf>
    <xf numFmtId="166" fontId="1" fillId="0" borderId="11" xfId="0" applyNumberFormat="1" applyFont="1" applyFill="1" applyBorder="1" applyAlignment="1">
      <alignment horizontal="center" vertical="center"/>
    </xf>
    <xf numFmtId="165" fontId="10" fillId="0" borderId="11" xfId="0" applyNumberFormat="1" applyFont="1" applyFill="1" applyBorder="1" applyAlignment="1">
      <alignment horizontal="center" vertical="center"/>
    </xf>
    <xf numFmtId="0" fontId="3" fillId="0" borderId="12" xfId="0" applyFont="1" applyFill="1" applyBorder="1" applyAlignment="1">
      <alignment horizontal="left"/>
    </xf>
    <xf numFmtId="165" fontId="10" fillId="0" borderId="12" xfId="0" applyNumberFormat="1" applyFont="1" applyFill="1" applyBorder="1" applyAlignment="1">
      <alignment horizontal="center" vertical="center"/>
    </xf>
    <xf numFmtId="0" fontId="2" fillId="0" borderId="0" xfId="0" applyFont="1" applyAlignment="1">
      <alignment horizontal="left" wrapText="1"/>
    </xf>
    <xf numFmtId="0" fontId="2" fillId="0" borderId="2" xfId="0" applyFont="1" applyBorder="1" applyAlignment="1">
      <alignment horizontal="left" wrapText="1"/>
    </xf>
    <xf numFmtId="0" fontId="2" fillId="0" borderId="0" xfId="0" quotePrefix="1" applyFont="1" applyAlignment="1"/>
    <xf numFmtId="165" fontId="2" fillId="0" borderId="0" xfId="0" applyNumberFormat="1" applyFont="1" applyFill="1" applyAlignment="1">
      <alignment wrapText="1"/>
    </xf>
    <xf numFmtId="164" fontId="6" fillId="0" borderId="5" xfId="0" applyNumberFormat="1" applyFont="1" applyFill="1" applyBorder="1" applyAlignment="1"/>
    <xf numFmtId="164" fontId="6" fillId="2" borderId="5" xfId="0" applyNumberFormat="1" applyFont="1" applyFill="1" applyBorder="1" applyAlignment="1"/>
    <xf numFmtId="9" fontId="2" fillId="0" borderId="0" xfId="1" applyFont="1" applyAlignment="1">
      <alignment wrapText="1"/>
    </xf>
    <xf numFmtId="165" fontId="10" fillId="0" borderId="11" xfId="0" applyNumberFormat="1" applyFont="1" applyFill="1" applyBorder="1" applyAlignment="1">
      <alignment horizontal="center" vertical="center"/>
    </xf>
    <xf numFmtId="169" fontId="2" fillId="0" borderId="0" xfId="1" applyNumberFormat="1" applyFont="1" applyFill="1" applyAlignment="1">
      <alignment wrapText="1"/>
    </xf>
    <xf numFmtId="0" fontId="1" fillId="2" borderId="1" xfId="0" applyFont="1" applyFill="1" applyBorder="1" applyAlignment="1">
      <alignment horizontal="right" vertical="center" wrapText="1"/>
    </xf>
    <xf numFmtId="0" fontId="2" fillId="2" borderId="3" xfId="0" applyFont="1" applyFill="1" applyBorder="1" applyAlignment="1"/>
    <xf numFmtId="164" fontId="2" fillId="2" borderId="5" xfId="0" applyNumberFormat="1" applyFont="1" applyFill="1" applyBorder="1" applyAlignment="1"/>
    <xf numFmtId="0" fontId="1" fillId="2" borderId="0" xfId="0" applyFont="1" applyFill="1" applyAlignment="1">
      <alignment horizontal="center"/>
    </xf>
    <xf numFmtId="165" fontId="2" fillId="2" borderId="0" xfId="0" applyNumberFormat="1" applyFont="1" applyFill="1" applyAlignment="1">
      <alignment wrapText="1"/>
    </xf>
    <xf numFmtId="165" fontId="10" fillId="0" borderId="11" xfId="0" applyNumberFormat="1" applyFont="1" applyFill="1" applyBorder="1" applyAlignment="1">
      <alignment horizontal="center" vertical="center"/>
    </xf>
    <xf numFmtId="165" fontId="10" fillId="0" borderId="11" xfId="0" applyNumberFormat="1" applyFont="1" applyFill="1" applyBorder="1" applyAlignment="1">
      <alignment horizontal="center" vertical="center"/>
    </xf>
    <xf numFmtId="0" fontId="1" fillId="0" borderId="0" xfId="0" applyFont="1" applyFill="1" applyBorder="1" applyAlignment="1">
      <alignment horizontal="right" wrapText="1"/>
    </xf>
    <xf numFmtId="165" fontId="3" fillId="2" borderId="0" xfId="0" applyNumberFormat="1" applyFont="1" applyFill="1" applyBorder="1" applyAlignment="1"/>
    <xf numFmtId="0" fontId="2" fillId="0" borderId="0" xfId="0" applyFont="1" applyBorder="1" applyAlignment="1">
      <alignment wrapText="1"/>
    </xf>
    <xf numFmtId="165" fontId="1" fillId="0" borderId="0" xfId="0" applyNumberFormat="1" applyFont="1" applyFill="1" applyBorder="1" applyAlignment="1"/>
    <xf numFmtId="168" fontId="1" fillId="0" borderId="0" xfId="0" applyNumberFormat="1" applyFont="1" applyBorder="1" applyAlignment="1">
      <alignment horizontal="right" wrapText="1"/>
    </xf>
    <xf numFmtId="165" fontId="10" fillId="0" borderId="0" xfId="0" applyNumberFormat="1" applyFont="1" applyFill="1" applyBorder="1" applyAlignment="1"/>
    <xf numFmtId="165" fontId="2" fillId="0" borderId="0" xfId="0" applyNumberFormat="1" applyFont="1" applyAlignment="1">
      <alignment wrapText="1"/>
    </xf>
    <xf numFmtId="165" fontId="3" fillId="0" borderId="0" xfId="0" applyNumberFormat="1" applyFont="1" applyAlignment="1">
      <alignment wrapText="1"/>
    </xf>
    <xf numFmtId="165" fontId="10" fillId="0" borderId="11"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165" fontId="10" fillId="0" borderId="11" xfId="0" applyNumberFormat="1" applyFont="1" applyFill="1" applyBorder="1" applyAlignment="1">
      <alignment horizontal="center" vertical="center"/>
    </xf>
    <xf numFmtId="164" fontId="5" fillId="0" borderId="0" xfId="0" applyNumberFormat="1" applyFont="1" applyFill="1" applyBorder="1" applyAlignment="1"/>
    <xf numFmtId="49" fontId="2" fillId="0" borderId="0" xfId="0" applyNumberFormat="1" applyFont="1" applyAlignment="1"/>
    <xf numFmtId="164" fontId="3" fillId="0" borderId="2" xfId="0" applyNumberFormat="1" applyFont="1" applyFill="1" applyBorder="1" applyAlignment="1"/>
    <xf numFmtId="165" fontId="3" fillId="0" borderId="1" xfId="0" applyNumberFormat="1" applyFont="1" applyFill="1" applyBorder="1"/>
    <xf numFmtId="0" fontId="14" fillId="0" borderId="0" xfId="0" applyFont="1" applyFill="1" applyAlignment="1">
      <alignment horizontal="left"/>
    </xf>
    <xf numFmtId="164" fontId="5" fillId="2" borderId="2" xfId="0" applyNumberFormat="1" applyFont="1" applyFill="1" applyBorder="1" applyAlignment="1"/>
    <xf numFmtId="164" fontId="5" fillId="2" borderId="0" xfId="0" applyNumberFormat="1" applyFont="1" applyFill="1" applyBorder="1" applyAlignment="1"/>
    <xf numFmtId="0" fontId="2" fillId="0" borderId="0" xfId="0" applyFont="1" applyAlignment="1">
      <alignment horizontal="left" vertical="center" wrapText="1"/>
    </xf>
    <xf numFmtId="0" fontId="1" fillId="0" borderId="10" xfId="0" applyFont="1" applyBorder="1" applyAlignment="1">
      <alignment vertical="center" wrapText="1"/>
    </xf>
    <xf numFmtId="0" fontId="2" fillId="0" borderId="13" xfId="0" applyFont="1" applyBorder="1" applyAlignment="1">
      <alignment horizontal="left"/>
    </xf>
    <xf numFmtId="165" fontId="10" fillId="0" borderId="11" xfId="0" applyNumberFormat="1" applyFont="1" applyFill="1" applyBorder="1" applyAlignment="1">
      <alignment horizontal="center" vertical="center"/>
    </xf>
    <xf numFmtId="0" fontId="3" fillId="0" borderId="12" xfId="0" applyFont="1" applyFill="1" applyBorder="1" applyAlignment="1">
      <alignment horizontal="left"/>
    </xf>
    <xf numFmtId="165" fontId="10" fillId="0" borderId="12" xfId="0" applyNumberFormat="1" applyFont="1" applyFill="1" applyBorder="1" applyAlignment="1">
      <alignment horizontal="center" vertical="center"/>
    </xf>
    <xf numFmtId="166" fontId="10" fillId="0" borderId="12" xfId="0" applyNumberFormat="1"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000FF"/>
      <color rgb="FFFFFF66"/>
      <color rgb="FFFF6600"/>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Criteo – PowerPoint Theme (1/12/18)">
  <a:themeElements>
    <a:clrScheme name="Criteo Color Palette - 3-9-2018">
      <a:dk1>
        <a:srgbClr val="373C42"/>
      </a:dk1>
      <a:lt1>
        <a:srgbClr val="FFFFFF"/>
      </a:lt1>
      <a:dk2>
        <a:srgbClr val="727983"/>
      </a:dk2>
      <a:lt2>
        <a:srgbClr val="F2F3F3"/>
      </a:lt2>
      <a:accent1>
        <a:srgbClr val="F78B2C"/>
      </a:accent1>
      <a:accent2>
        <a:srgbClr val="FCBC2B"/>
      </a:accent2>
      <a:accent3>
        <a:srgbClr val="05B996"/>
      </a:accent3>
      <a:accent4>
        <a:srgbClr val="00A9CD"/>
      </a:accent4>
      <a:accent5>
        <a:srgbClr val="005581"/>
      </a:accent5>
      <a:accent6>
        <a:srgbClr val="F6815D"/>
      </a:accent6>
      <a:hlink>
        <a:srgbClr val="F78B2C"/>
      </a:hlink>
      <a:folHlink>
        <a:srgbClr val="727983"/>
      </a:folHlink>
    </a:clrScheme>
    <a:fontScheme name="Criteo">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ITEO – PowerPoint Theme" id="{80BA917B-EC35-874B-99CE-B0141613E73E}" vid="{021BF710-80FE-4B45-9BAF-3CB0CF87864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7"/>
  <sheetViews>
    <sheetView showGridLines="0" zoomScale="70" zoomScaleNormal="70" workbookViewId="0"/>
  </sheetViews>
  <sheetFormatPr defaultColWidth="21.5" defaultRowHeight="12.75" x14ac:dyDescent="0.35"/>
  <cols>
    <col min="1" max="1" width="46.85546875" style="2" customWidth="1"/>
    <col min="2" max="2" width="17.640625" style="2" customWidth="1"/>
    <col min="3" max="16" width="17.640625" style="56" customWidth="1"/>
    <col min="17" max="16384" width="21.5" style="2"/>
  </cols>
  <sheetData>
    <row r="1" spans="1:16" ht="13.15" x14ac:dyDescent="0.4">
      <c r="A1" s="1" t="s">
        <v>168</v>
      </c>
    </row>
    <row r="2" spans="1:16" x14ac:dyDescent="0.35">
      <c r="A2" s="2" t="s">
        <v>169</v>
      </c>
    </row>
    <row r="3" spans="1:16" ht="15" customHeight="1" x14ac:dyDescent="0.4">
      <c r="A3" s="1"/>
      <c r="B3" s="148" t="s">
        <v>0</v>
      </c>
      <c r="C3" s="12" t="s">
        <v>1</v>
      </c>
      <c r="D3" s="12" t="s">
        <v>164</v>
      </c>
      <c r="E3" s="12" t="s">
        <v>163</v>
      </c>
      <c r="F3" s="148" t="s">
        <v>0</v>
      </c>
      <c r="G3" s="12" t="s">
        <v>1</v>
      </c>
      <c r="H3" s="12" t="s">
        <v>164</v>
      </c>
      <c r="I3" s="12" t="s">
        <v>163</v>
      </c>
      <c r="J3" s="148" t="s">
        <v>0</v>
      </c>
      <c r="K3" s="12" t="s">
        <v>1</v>
      </c>
      <c r="L3" s="12" t="s">
        <v>164</v>
      </c>
      <c r="M3" s="12" t="s">
        <v>163</v>
      </c>
      <c r="N3" s="148" t="s">
        <v>0</v>
      </c>
      <c r="O3" s="12" t="s">
        <v>1</v>
      </c>
      <c r="P3" s="12" t="s">
        <v>164</v>
      </c>
    </row>
    <row r="4" spans="1:16" ht="15" customHeight="1" x14ac:dyDescent="0.4">
      <c r="A4" s="3"/>
      <c r="B4" s="20">
        <v>2015</v>
      </c>
      <c r="C4" s="13">
        <v>2016</v>
      </c>
      <c r="D4" s="13">
        <v>2016</v>
      </c>
      <c r="E4" s="13">
        <v>2016</v>
      </c>
      <c r="F4" s="20">
        <v>2016</v>
      </c>
      <c r="G4" s="13">
        <v>2017</v>
      </c>
      <c r="H4" s="13">
        <v>2017</v>
      </c>
      <c r="I4" s="13">
        <v>2017</v>
      </c>
      <c r="J4" s="20" t="s">
        <v>2</v>
      </c>
      <c r="K4" s="13" t="s">
        <v>3</v>
      </c>
      <c r="L4" s="13">
        <v>2018</v>
      </c>
      <c r="M4" s="13">
        <v>2018</v>
      </c>
      <c r="N4" s="20">
        <v>2018</v>
      </c>
      <c r="O4" s="13">
        <v>2019</v>
      </c>
      <c r="P4" s="13">
        <v>2019</v>
      </c>
    </row>
    <row r="5" spans="1:16" ht="15" customHeight="1" x14ac:dyDescent="0.35">
      <c r="A5" s="3"/>
      <c r="B5" s="149"/>
      <c r="C5" s="4"/>
      <c r="D5" s="4"/>
      <c r="E5" s="4"/>
      <c r="F5" s="149"/>
      <c r="G5" s="4"/>
      <c r="H5" s="4"/>
      <c r="I5" s="4"/>
      <c r="J5" s="149"/>
      <c r="K5" s="4"/>
      <c r="L5" s="4"/>
      <c r="M5" s="4"/>
      <c r="N5" s="149"/>
      <c r="O5" s="4"/>
      <c r="P5" s="4"/>
    </row>
    <row r="6" spans="1:16" ht="15" customHeight="1" x14ac:dyDescent="0.35">
      <c r="A6" s="2" t="s">
        <v>4</v>
      </c>
      <c r="B6" s="17"/>
      <c r="C6" s="3"/>
      <c r="D6" s="3"/>
      <c r="E6" s="3"/>
      <c r="F6" s="17"/>
      <c r="G6" s="3"/>
      <c r="H6" s="3"/>
      <c r="I6" s="3"/>
      <c r="J6" s="17"/>
      <c r="K6" s="3"/>
      <c r="L6" s="3"/>
      <c r="M6" s="3"/>
      <c r="N6" s="17"/>
      <c r="O6" s="3"/>
      <c r="P6" s="3"/>
    </row>
    <row r="7" spans="1:16" ht="15" customHeight="1" x14ac:dyDescent="0.35">
      <c r="A7" s="2" t="s">
        <v>5</v>
      </c>
      <c r="B7" s="17"/>
      <c r="C7" s="3"/>
      <c r="D7" s="3"/>
      <c r="E7" s="3"/>
      <c r="F7" s="17"/>
      <c r="G7" s="3"/>
      <c r="H7" s="3"/>
      <c r="I7" s="3"/>
      <c r="J7" s="17"/>
      <c r="K7" s="3"/>
      <c r="L7" s="3"/>
      <c r="M7" s="3"/>
      <c r="N7" s="17"/>
      <c r="O7" s="3"/>
      <c r="P7" s="3"/>
    </row>
    <row r="8" spans="1:16" ht="15" customHeight="1" x14ac:dyDescent="0.35">
      <c r="A8" s="2" t="s">
        <v>6</v>
      </c>
      <c r="B8" s="74">
        <f>Cashflows!E36</f>
        <v>353537</v>
      </c>
      <c r="C8" s="63">
        <f>Cashflows!G36</f>
        <v>386110.54063881142</v>
      </c>
      <c r="D8" s="63">
        <f>Cashflows!H36</f>
        <v>377407.54063881142</v>
      </c>
      <c r="E8" s="63">
        <f>Cashflows!I36</f>
        <v>407158.54063881142</v>
      </c>
      <c r="F8" s="74">
        <f>Cashflows!J36</f>
        <v>270317.54063881142</v>
      </c>
      <c r="G8" s="63">
        <f>Cashflows!L36</f>
        <v>303813</v>
      </c>
      <c r="H8" s="63">
        <f>Cashflows!M36</f>
        <v>308185</v>
      </c>
      <c r="I8" s="63">
        <f>Cashflows!N36</f>
        <v>357983</v>
      </c>
      <c r="J8" s="74">
        <f>Cashflows!O36</f>
        <v>414111</v>
      </c>
      <c r="K8" s="63">
        <f>Cashflows!Q36</f>
        <v>483874</v>
      </c>
      <c r="L8" s="63">
        <f>Cashflows!R36</f>
        <v>480285</v>
      </c>
      <c r="M8" s="63">
        <f>Cashflows!S36</f>
        <v>458690</v>
      </c>
      <c r="N8" s="74">
        <f>Cashflows!T36</f>
        <v>364426</v>
      </c>
      <c r="O8" s="63">
        <f>Cashflows!V36</f>
        <v>395771</v>
      </c>
      <c r="P8" s="63">
        <f>Cashflows!W36</f>
        <v>422053</v>
      </c>
    </row>
    <row r="9" spans="1:16" ht="15" customHeight="1" x14ac:dyDescent="0.35">
      <c r="A9" s="2" t="s">
        <v>7</v>
      </c>
      <c r="B9" s="77">
        <v>261581</v>
      </c>
      <c r="C9" s="66">
        <v>262524</v>
      </c>
      <c r="D9" s="66">
        <v>266436</v>
      </c>
      <c r="E9" s="66">
        <v>268097</v>
      </c>
      <c r="F9" s="77">
        <v>397244</v>
      </c>
      <c r="G9" s="66">
        <v>340837</v>
      </c>
      <c r="H9" s="66">
        <v>370052</v>
      </c>
      <c r="I9" s="66">
        <v>373922</v>
      </c>
      <c r="J9" s="77">
        <v>484101</v>
      </c>
      <c r="K9" s="66">
        <v>395707</v>
      </c>
      <c r="L9" s="66">
        <v>372906</v>
      </c>
      <c r="M9" s="66">
        <v>356792</v>
      </c>
      <c r="N9" s="77">
        <v>473901</v>
      </c>
      <c r="O9" s="66">
        <v>386792</v>
      </c>
      <c r="P9" s="66">
        <v>374949</v>
      </c>
    </row>
    <row r="10" spans="1:16" ht="15" customHeight="1" x14ac:dyDescent="0.35">
      <c r="A10" s="139" t="s">
        <v>8</v>
      </c>
      <c r="B10" s="77">
        <v>2714</v>
      </c>
      <c r="C10" s="66">
        <v>2977</v>
      </c>
      <c r="D10" s="66">
        <v>5277</v>
      </c>
      <c r="E10" s="66">
        <v>4422</v>
      </c>
      <c r="F10" s="77">
        <v>2741</v>
      </c>
      <c r="G10" s="66">
        <v>3560</v>
      </c>
      <c r="H10" s="66">
        <v>6872</v>
      </c>
      <c r="I10" s="66">
        <v>5295</v>
      </c>
      <c r="J10" s="77">
        <v>8882</v>
      </c>
      <c r="K10" s="66">
        <v>7646</v>
      </c>
      <c r="L10" s="66">
        <v>11921</v>
      </c>
      <c r="M10" s="66">
        <v>20316</v>
      </c>
      <c r="N10" s="77">
        <v>19370</v>
      </c>
      <c r="O10" s="66">
        <v>8182</v>
      </c>
      <c r="P10" s="66">
        <v>18185</v>
      </c>
    </row>
    <row r="11" spans="1:16" ht="15" customHeight="1" x14ac:dyDescent="0.35">
      <c r="A11" s="139" t="s">
        <v>9</v>
      </c>
      <c r="B11" s="77">
        <v>29552</v>
      </c>
      <c r="C11" s="66">
        <v>35332</v>
      </c>
      <c r="D11" s="66">
        <v>39527</v>
      </c>
      <c r="E11" s="66">
        <v>45323</v>
      </c>
      <c r="F11" s="77">
        <v>52942</v>
      </c>
      <c r="G11" s="66">
        <v>44834</v>
      </c>
      <c r="H11" s="66">
        <v>46514</v>
      </c>
      <c r="I11" s="66">
        <v>46095</v>
      </c>
      <c r="J11" s="77">
        <v>58346</v>
      </c>
      <c r="K11" s="66">
        <v>52557</v>
      </c>
      <c r="L11" s="66">
        <v>42076</v>
      </c>
      <c r="M11" s="66">
        <v>48722</v>
      </c>
      <c r="N11" s="77">
        <v>53338</v>
      </c>
      <c r="O11" s="66">
        <v>56828</v>
      </c>
      <c r="P11" s="66">
        <v>56090</v>
      </c>
    </row>
    <row r="12" spans="1:16" ht="15" customHeight="1" x14ac:dyDescent="0.35">
      <c r="A12" s="139" t="s">
        <v>10</v>
      </c>
      <c r="B12" s="80">
        <v>16030</v>
      </c>
      <c r="C12" s="68">
        <v>22374</v>
      </c>
      <c r="D12" s="68">
        <v>23164</v>
      </c>
      <c r="E12" s="68">
        <v>20288</v>
      </c>
      <c r="F12" s="80">
        <v>19340</v>
      </c>
      <c r="G12" s="68">
        <v>22772</v>
      </c>
      <c r="H12" s="68">
        <v>28270</v>
      </c>
      <c r="I12" s="68">
        <v>26945</v>
      </c>
      <c r="J12" s="80">
        <v>26327</v>
      </c>
      <c r="K12" s="68">
        <v>26463</v>
      </c>
      <c r="L12" s="68">
        <v>26114</v>
      </c>
      <c r="M12" s="68">
        <v>26855</v>
      </c>
      <c r="N12" s="80">
        <v>22816</v>
      </c>
      <c r="O12" s="68">
        <v>24737</v>
      </c>
      <c r="P12" s="68">
        <v>18751</v>
      </c>
    </row>
    <row r="13" spans="1:16" ht="15" customHeight="1" x14ac:dyDescent="0.35">
      <c r="A13" s="5" t="s">
        <v>11</v>
      </c>
      <c r="B13" s="81">
        <f t="shared" ref="B13:E13" si="0">SUM(B8:B12)</f>
        <v>663414</v>
      </c>
      <c r="C13" s="69">
        <f>SUM(C8:C12)</f>
        <v>709317.54063881142</v>
      </c>
      <c r="D13" s="69">
        <f t="shared" si="0"/>
        <v>711811.54063881142</v>
      </c>
      <c r="E13" s="69">
        <f t="shared" si="0"/>
        <v>745288.54063881142</v>
      </c>
      <c r="F13" s="81">
        <f>SUM(F8:F12)</f>
        <v>742584.54063881142</v>
      </c>
      <c r="G13" s="69">
        <f>SUM(G8:G12)</f>
        <v>715816</v>
      </c>
      <c r="H13" s="69">
        <f>SUM(H8:H12)</f>
        <v>759893</v>
      </c>
      <c r="I13" s="69">
        <v>810240</v>
      </c>
      <c r="J13" s="81">
        <f t="shared" ref="J13:P13" si="1">SUM(J8:J12)</f>
        <v>991767</v>
      </c>
      <c r="K13" s="69">
        <f t="shared" si="1"/>
        <v>966247</v>
      </c>
      <c r="L13" s="69">
        <f t="shared" si="1"/>
        <v>933302</v>
      </c>
      <c r="M13" s="69">
        <f t="shared" si="1"/>
        <v>911375</v>
      </c>
      <c r="N13" s="81">
        <f t="shared" si="1"/>
        <v>933851</v>
      </c>
      <c r="O13" s="69">
        <f t="shared" si="1"/>
        <v>872310</v>
      </c>
      <c r="P13" s="69">
        <f t="shared" si="1"/>
        <v>890028</v>
      </c>
    </row>
    <row r="14" spans="1:16" ht="15" customHeight="1" x14ac:dyDescent="0.35">
      <c r="A14" s="2" t="s">
        <v>12</v>
      </c>
      <c r="B14" s="92">
        <v>82482</v>
      </c>
      <c r="C14" s="87">
        <v>85845</v>
      </c>
      <c r="D14" s="87">
        <v>97236</v>
      </c>
      <c r="E14" s="87">
        <v>98353</v>
      </c>
      <c r="F14" s="92">
        <v>108581</v>
      </c>
      <c r="G14" s="87">
        <v>115415</v>
      </c>
      <c r="H14" s="87">
        <v>131346</v>
      </c>
      <c r="I14" s="87">
        <v>134885</v>
      </c>
      <c r="J14" s="92">
        <v>161738</v>
      </c>
      <c r="K14" s="87">
        <v>153252</v>
      </c>
      <c r="L14" s="87">
        <v>146904</v>
      </c>
      <c r="M14" s="87">
        <v>183777</v>
      </c>
      <c r="N14" s="92">
        <v>184013</v>
      </c>
      <c r="O14" s="87">
        <v>180377</v>
      </c>
      <c r="P14" s="87">
        <v>192651</v>
      </c>
    </row>
    <row r="15" spans="1:16" ht="15" customHeight="1" x14ac:dyDescent="0.35">
      <c r="A15" s="2" t="s">
        <v>13</v>
      </c>
      <c r="B15" s="77">
        <v>16470</v>
      </c>
      <c r="C15" s="66">
        <v>17024</v>
      </c>
      <c r="D15" s="66">
        <v>17170</v>
      </c>
      <c r="E15" s="66">
        <v>18595</v>
      </c>
      <c r="F15" s="77">
        <v>102944</v>
      </c>
      <c r="G15" s="66">
        <v>107962</v>
      </c>
      <c r="H15" s="66">
        <v>104045</v>
      </c>
      <c r="I15" s="66">
        <v>99714</v>
      </c>
      <c r="J15" s="77">
        <v>96223</v>
      </c>
      <c r="K15" s="66">
        <v>92384</v>
      </c>
      <c r="L15" s="66">
        <v>87031</v>
      </c>
      <c r="M15" s="66">
        <v>96848</v>
      </c>
      <c r="N15" s="77">
        <v>112036</v>
      </c>
      <c r="O15" s="66">
        <v>107218</v>
      </c>
      <c r="P15" s="66">
        <v>103113</v>
      </c>
    </row>
    <row r="16" spans="1:16" ht="15" customHeight="1" x14ac:dyDescent="0.35">
      <c r="A16" s="2" t="s">
        <v>14</v>
      </c>
      <c r="B16" s="77">
        <v>41973</v>
      </c>
      <c r="C16" s="66">
        <v>42736</v>
      </c>
      <c r="D16" s="66">
        <v>46859</v>
      </c>
      <c r="E16" s="66">
        <v>45690</v>
      </c>
      <c r="F16" s="77">
        <v>209418</v>
      </c>
      <c r="G16" s="66">
        <v>232138</v>
      </c>
      <c r="H16" s="66">
        <v>235337</v>
      </c>
      <c r="I16" s="66">
        <v>236363</v>
      </c>
      <c r="J16" s="77">
        <v>236826</v>
      </c>
      <c r="K16" s="66">
        <v>237757</v>
      </c>
      <c r="L16" s="66">
        <v>235950</v>
      </c>
      <c r="M16" s="66">
        <v>268734</v>
      </c>
      <c r="N16" s="77">
        <v>312881</v>
      </c>
      <c r="O16" s="66">
        <v>317076</v>
      </c>
      <c r="P16" s="66">
        <v>317093</v>
      </c>
    </row>
    <row r="17" spans="1:16" s="56" customFormat="1" ht="15" customHeight="1" x14ac:dyDescent="0.35">
      <c r="A17" s="56" t="s">
        <v>225</v>
      </c>
      <c r="B17" s="77"/>
      <c r="C17" s="66"/>
      <c r="D17" s="66"/>
      <c r="E17" s="66"/>
      <c r="F17" s="77"/>
      <c r="G17" s="66"/>
      <c r="H17" s="66"/>
      <c r="I17" s="66"/>
      <c r="J17" s="77"/>
      <c r="K17" s="66"/>
      <c r="L17" s="66"/>
      <c r="M17" s="66"/>
      <c r="N17" s="77"/>
      <c r="O17" s="66">
        <v>200274</v>
      </c>
      <c r="P17" s="66">
        <v>183725</v>
      </c>
    </row>
    <row r="18" spans="1:16" ht="15" customHeight="1" x14ac:dyDescent="0.35">
      <c r="A18" s="2" t="s">
        <v>15</v>
      </c>
      <c r="B18" s="77">
        <v>17184</v>
      </c>
      <c r="C18" s="66">
        <v>16880</v>
      </c>
      <c r="D18" s="66">
        <v>17010</v>
      </c>
      <c r="E18" s="66">
        <v>17453</v>
      </c>
      <c r="F18" s="77">
        <v>17029</v>
      </c>
      <c r="G18" s="66">
        <v>19857</v>
      </c>
      <c r="H18" s="66">
        <v>18824</v>
      </c>
      <c r="I18" s="66">
        <v>19350</v>
      </c>
      <c r="J18" s="77">
        <v>19525</v>
      </c>
      <c r="K18" s="66">
        <v>21137</v>
      </c>
      <c r="L18" s="66">
        <v>20226</v>
      </c>
      <c r="M18" s="66">
        <v>20491</v>
      </c>
      <c r="N18" s="77">
        <v>20460</v>
      </c>
      <c r="O18" s="66">
        <v>20331</v>
      </c>
      <c r="P18" s="66">
        <v>21613</v>
      </c>
    </row>
    <row r="19" spans="1:16" ht="15" customHeight="1" x14ac:dyDescent="0.35">
      <c r="A19" s="2" t="s">
        <v>16</v>
      </c>
      <c r="B19" s="80">
        <v>20196</v>
      </c>
      <c r="C19" s="68">
        <v>21911</v>
      </c>
      <c r="D19" s="68">
        <v>25330</v>
      </c>
      <c r="E19" s="68">
        <v>28586</v>
      </c>
      <c r="F19" s="80">
        <v>30630</v>
      </c>
      <c r="G19" s="68">
        <v>46201</v>
      </c>
      <c r="H19" s="68">
        <v>48700</v>
      </c>
      <c r="I19" s="68">
        <v>57642</v>
      </c>
      <c r="J19" s="80">
        <v>25221</v>
      </c>
      <c r="K19" s="68">
        <v>28583</v>
      </c>
      <c r="L19" s="68">
        <v>33129</v>
      </c>
      <c r="M19" s="68">
        <v>34718</v>
      </c>
      <c r="N19" s="80">
        <v>33894</v>
      </c>
      <c r="O19" s="68">
        <v>48330</v>
      </c>
      <c r="P19" s="68">
        <v>41346</v>
      </c>
    </row>
    <row r="20" spans="1:16" ht="15" customHeight="1" x14ac:dyDescent="0.35">
      <c r="A20" s="5" t="s">
        <v>17</v>
      </c>
      <c r="B20" s="81">
        <f t="shared" ref="B20:H20" si="2">SUM(B14:B19)</f>
        <v>178305</v>
      </c>
      <c r="C20" s="69">
        <f t="shared" si="2"/>
        <v>184396</v>
      </c>
      <c r="D20" s="69">
        <f t="shared" si="2"/>
        <v>203605</v>
      </c>
      <c r="E20" s="69">
        <f t="shared" si="2"/>
        <v>208677</v>
      </c>
      <c r="F20" s="81">
        <f t="shared" si="2"/>
        <v>468602</v>
      </c>
      <c r="G20" s="69">
        <f t="shared" si="2"/>
        <v>521573</v>
      </c>
      <c r="H20" s="69">
        <f t="shared" si="2"/>
        <v>538252</v>
      </c>
      <c r="I20" s="69">
        <v>547954</v>
      </c>
      <c r="J20" s="81">
        <f t="shared" ref="J20:O20" si="3">SUM(J14:J19)</f>
        <v>539533</v>
      </c>
      <c r="K20" s="69">
        <f t="shared" si="3"/>
        <v>533113</v>
      </c>
      <c r="L20" s="69">
        <f t="shared" si="3"/>
        <v>523240</v>
      </c>
      <c r="M20" s="69">
        <f t="shared" si="3"/>
        <v>604568</v>
      </c>
      <c r="N20" s="81">
        <f t="shared" si="3"/>
        <v>663284</v>
      </c>
      <c r="O20" s="69">
        <f t="shared" si="3"/>
        <v>873606</v>
      </c>
      <c r="P20" s="69">
        <f t="shared" ref="P20" si="4">SUM(P14:P19)</f>
        <v>859541</v>
      </c>
    </row>
    <row r="21" spans="1:16" ht="15" customHeight="1" thickBot="1" x14ac:dyDescent="0.4">
      <c r="A21" s="6" t="s">
        <v>18</v>
      </c>
      <c r="B21" s="150">
        <f t="shared" ref="B21:H21" si="5">SUM(B13,B20)</f>
        <v>841719</v>
      </c>
      <c r="C21" s="59">
        <f t="shared" si="5"/>
        <v>893713.54063881142</v>
      </c>
      <c r="D21" s="59">
        <f t="shared" si="5"/>
        <v>915416.54063881142</v>
      </c>
      <c r="E21" s="59">
        <f t="shared" si="5"/>
        <v>953965.54063881142</v>
      </c>
      <c r="F21" s="150">
        <f t="shared" si="5"/>
        <v>1211186.5406388114</v>
      </c>
      <c r="G21" s="59">
        <f t="shared" si="5"/>
        <v>1237389</v>
      </c>
      <c r="H21" s="59">
        <f t="shared" si="5"/>
        <v>1298145</v>
      </c>
      <c r="I21" s="59">
        <v>1358194</v>
      </c>
      <c r="J21" s="150">
        <f t="shared" ref="J21:O21" si="6">SUM(J13,J20)</f>
        <v>1531300</v>
      </c>
      <c r="K21" s="59">
        <f t="shared" si="6"/>
        <v>1499360</v>
      </c>
      <c r="L21" s="59">
        <f t="shared" si="6"/>
        <v>1456542</v>
      </c>
      <c r="M21" s="59">
        <f t="shared" si="6"/>
        <v>1515943</v>
      </c>
      <c r="N21" s="150">
        <f t="shared" si="6"/>
        <v>1597135</v>
      </c>
      <c r="O21" s="59">
        <f t="shared" si="6"/>
        <v>1745916</v>
      </c>
      <c r="P21" s="59">
        <f t="shared" ref="P21" si="7">SUM(P13,P20)</f>
        <v>1749569</v>
      </c>
    </row>
    <row r="22" spans="1:16" ht="15" customHeight="1" thickTop="1" x14ac:dyDescent="0.35">
      <c r="A22" s="3"/>
      <c r="B22" s="17"/>
      <c r="C22" s="19"/>
      <c r="D22" s="19"/>
      <c r="E22" s="19"/>
      <c r="F22" s="17"/>
      <c r="G22" s="19"/>
      <c r="H22" s="19"/>
      <c r="I22" s="19"/>
      <c r="J22" s="17"/>
      <c r="K22" s="19"/>
      <c r="L22" s="19"/>
      <c r="M22" s="19"/>
      <c r="N22" s="17"/>
      <c r="O22" s="19"/>
      <c r="P22" s="19"/>
    </row>
    <row r="23" spans="1:16" ht="15" customHeight="1" x14ac:dyDescent="0.4">
      <c r="A23" s="2" t="s">
        <v>19</v>
      </c>
      <c r="B23" s="151"/>
      <c r="C23" s="60"/>
      <c r="D23" s="60"/>
      <c r="E23" s="60"/>
      <c r="F23" s="151"/>
      <c r="G23" s="60"/>
      <c r="H23" s="60"/>
      <c r="I23" s="60"/>
      <c r="J23" s="151"/>
      <c r="K23" s="60"/>
      <c r="L23" s="60"/>
      <c r="M23" s="60"/>
      <c r="N23" s="151"/>
      <c r="O23" s="60"/>
      <c r="P23" s="60"/>
    </row>
    <row r="24" spans="1:16" ht="15" customHeight="1" x14ac:dyDescent="0.35">
      <c r="A24" s="2" t="s">
        <v>20</v>
      </c>
      <c r="B24" s="22"/>
      <c r="C24" s="15"/>
      <c r="D24" s="15"/>
      <c r="E24" s="15"/>
      <c r="F24" s="22"/>
      <c r="G24" s="15"/>
      <c r="H24" s="15"/>
      <c r="I24" s="15"/>
      <c r="J24" s="22"/>
      <c r="K24" s="15"/>
      <c r="L24" s="15"/>
      <c r="M24" s="15"/>
      <c r="N24" s="22"/>
      <c r="O24" s="15"/>
      <c r="P24" s="15"/>
    </row>
    <row r="25" spans="1:16" ht="15" customHeight="1" x14ac:dyDescent="0.35">
      <c r="A25" s="139" t="s">
        <v>21</v>
      </c>
      <c r="B25" s="116">
        <v>246382</v>
      </c>
      <c r="C25" s="57">
        <v>241119</v>
      </c>
      <c r="D25" s="57">
        <v>240757</v>
      </c>
      <c r="E25" s="57">
        <v>253938</v>
      </c>
      <c r="F25" s="116">
        <v>365788</v>
      </c>
      <c r="G25" s="57">
        <v>295602</v>
      </c>
      <c r="H25" s="57">
        <v>351408</v>
      </c>
      <c r="I25" s="57">
        <v>350690</v>
      </c>
      <c r="J25" s="116">
        <v>417032</v>
      </c>
      <c r="K25" s="57">
        <v>359296</v>
      </c>
      <c r="L25" s="57">
        <v>321295</v>
      </c>
      <c r="M25" s="57">
        <v>332388</v>
      </c>
      <c r="N25" s="116">
        <v>425376</v>
      </c>
      <c r="O25" s="57">
        <v>345923</v>
      </c>
      <c r="P25" s="57">
        <v>332735</v>
      </c>
    </row>
    <row r="26" spans="1:16" ht="15" customHeight="1" x14ac:dyDescent="0.35">
      <c r="A26" s="139" t="s">
        <v>22</v>
      </c>
      <c r="B26" s="77">
        <v>668</v>
      </c>
      <c r="C26" s="66">
        <v>688</v>
      </c>
      <c r="D26" s="66">
        <v>283</v>
      </c>
      <c r="E26" s="66">
        <v>286</v>
      </c>
      <c r="F26" s="77">
        <v>654</v>
      </c>
      <c r="G26" s="66">
        <v>980</v>
      </c>
      <c r="H26" s="66">
        <v>1392</v>
      </c>
      <c r="I26" s="66">
        <v>1553</v>
      </c>
      <c r="J26" s="77">
        <v>1798</v>
      </c>
      <c r="K26" s="66">
        <v>836</v>
      </c>
      <c r="L26" s="66">
        <v>1811</v>
      </c>
      <c r="M26" s="66">
        <v>2411</v>
      </c>
      <c r="N26" s="77">
        <v>2640</v>
      </c>
      <c r="O26" s="66">
        <v>3215</v>
      </c>
      <c r="P26" s="66">
        <v>4156</v>
      </c>
    </row>
    <row r="27" spans="1:16" ht="15" customHeight="1" x14ac:dyDescent="0.35">
      <c r="A27" s="139" t="s">
        <v>8</v>
      </c>
      <c r="B27" s="77">
        <v>15365</v>
      </c>
      <c r="C27" s="66">
        <v>13288</v>
      </c>
      <c r="D27" s="66">
        <v>9455</v>
      </c>
      <c r="E27" s="66">
        <v>7133</v>
      </c>
      <c r="F27" s="77">
        <v>14454</v>
      </c>
      <c r="G27" s="66">
        <v>14969</v>
      </c>
      <c r="H27" s="66">
        <v>11898</v>
      </c>
      <c r="I27" s="66">
        <v>16341</v>
      </c>
      <c r="J27" s="77">
        <v>9997</v>
      </c>
      <c r="K27" s="66">
        <v>10403</v>
      </c>
      <c r="L27" s="66">
        <v>9346</v>
      </c>
      <c r="M27" s="66">
        <v>2510</v>
      </c>
      <c r="N27" s="77">
        <v>7725</v>
      </c>
      <c r="O27" s="66">
        <v>5794</v>
      </c>
      <c r="P27" s="66">
        <v>7065</v>
      </c>
    </row>
    <row r="28" spans="1:16" ht="15" customHeight="1" x14ac:dyDescent="0.35">
      <c r="A28" s="139" t="s">
        <v>23</v>
      </c>
      <c r="B28" s="77">
        <v>7156</v>
      </c>
      <c r="C28" s="66">
        <v>6202</v>
      </c>
      <c r="D28" s="66">
        <v>6011</v>
      </c>
      <c r="E28" s="66">
        <v>6403</v>
      </c>
      <c r="F28" s="77">
        <v>7969</v>
      </c>
      <c r="G28" s="66">
        <f>9122+75276</f>
        <v>84398</v>
      </c>
      <c r="H28" s="66">
        <f>5706+145</f>
        <v>5851</v>
      </c>
      <c r="I28" s="66">
        <v>7943</v>
      </c>
      <c r="J28" s="77">
        <v>1499</v>
      </c>
      <c r="K28" s="66">
        <v>1747</v>
      </c>
      <c r="L28" s="66">
        <v>1055</v>
      </c>
      <c r="M28" s="66">
        <v>2498</v>
      </c>
      <c r="N28" s="77">
        <v>1018</v>
      </c>
      <c r="O28" s="66">
        <v>1599</v>
      </c>
      <c r="P28" s="66">
        <v>2030</v>
      </c>
    </row>
    <row r="29" spans="1:16" s="56" customFormat="1" ht="15" customHeight="1" x14ac:dyDescent="0.35">
      <c r="A29" s="139" t="s">
        <v>226</v>
      </c>
      <c r="B29" s="77"/>
      <c r="C29" s="66"/>
      <c r="D29" s="66"/>
      <c r="E29" s="66"/>
      <c r="F29" s="77"/>
      <c r="G29" s="66"/>
      <c r="H29" s="66"/>
      <c r="I29" s="66"/>
      <c r="J29" s="77"/>
      <c r="K29" s="66"/>
      <c r="L29" s="66"/>
      <c r="M29" s="66"/>
      <c r="N29" s="77"/>
      <c r="O29" s="66">
        <v>49459</v>
      </c>
      <c r="P29" s="66">
        <v>47964</v>
      </c>
    </row>
    <row r="30" spans="1:16" ht="15" customHeight="1" x14ac:dyDescent="0.35">
      <c r="A30" s="139" t="s">
        <v>9</v>
      </c>
      <c r="B30" s="77">
        <v>30463</v>
      </c>
      <c r="C30" s="66">
        <v>33861</v>
      </c>
      <c r="D30" s="66">
        <v>33880</v>
      </c>
      <c r="E30" s="66">
        <v>35844</v>
      </c>
      <c r="F30" s="77">
        <v>44831</v>
      </c>
      <c r="G30" s="66">
        <f>41414</f>
        <v>41414</v>
      </c>
      <c r="H30" s="66">
        <v>45606</v>
      </c>
      <c r="I30" s="66">
        <v>42713</v>
      </c>
      <c r="J30" s="77">
        <v>58783</v>
      </c>
      <c r="K30" s="66">
        <v>52342</v>
      </c>
      <c r="L30" s="66">
        <v>46947</v>
      </c>
      <c r="M30" s="66">
        <v>45233</v>
      </c>
      <c r="N30" s="77">
        <v>55592</v>
      </c>
      <c r="O30" s="66">
        <v>58192</v>
      </c>
      <c r="P30" s="66">
        <v>56929</v>
      </c>
    </row>
    <row r="31" spans="1:16" ht="15" customHeight="1" x14ac:dyDescent="0.35">
      <c r="A31" s="139" t="s">
        <v>24</v>
      </c>
      <c r="B31" s="77">
        <v>42275</v>
      </c>
      <c r="C31" s="66">
        <v>41807</v>
      </c>
      <c r="D31" s="66">
        <v>46372</v>
      </c>
      <c r="E31" s="66">
        <v>42317</v>
      </c>
      <c r="F31" s="77">
        <v>55874</v>
      </c>
      <c r="G31" s="66">
        <v>53862</v>
      </c>
      <c r="H31" s="66">
        <v>64467</v>
      </c>
      <c r="I31" s="66">
        <v>59661</v>
      </c>
      <c r="J31" s="77">
        <v>66219</v>
      </c>
      <c r="K31" s="66">
        <v>65646</v>
      </c>
      <c r="L31" s="66">
        <v>65832</v>
      </c>
      <c r="M31" s="66">
        <v>53709</v>
      </c>
      <c r="N31" s="77">
        <v>65878</v>
      </c>
      <c r="O31" s="66">
        <v>63459</v>
      </c>
      <c r="P31" s="66">
        <v>68702</v>
      </c>
    </row>
    <row r="32" spans="1:16" ht="15" customHeight="1" x14ac:dyDescent="0.35">
      <c r="A32" s="139" t="s">
        <v>25</v>
      </c>
      <c r="B32" s="80">
        <v>15531</v>
      </c>
      <c r="C32" s="68">
        <v>19413</v>
      </c>
      <c r="D32" s="68">
        <v>21531</v>
      </c>
      <c r="E32" s="68">
        <v>18383</v>
      </c>
      <c r="F32" s="80">
        <v>30221</v>
      </c>
      <c r="G32" s="68">
        <v>35032</v>
      </c>
      <c r="H32" s="68">
        <f>38051-145</f>
        <v>37906</v>
      </c>
      <c r="I32" s="68">
        <v>26802</v>
      </c>
      <c r="J32" s="80">
        <v>65677</v>
      </c>
      <c r="K32" s="68">
        <f>29847+4</f>
        <v>29851</v>
      </c>
      <c r="L32" s="68">
        <v>30803</v>
      </c>
      <c r="M32" s="68">
        <v>59463</v>
      </c>
      <c r="N32" s="80">
        <v>47115</v>
      </c>
      <c r="O32" s="68">
        <v>37256</v>
      </c>
      <c r="P32" s="68">
        <v>33986</v>
      </c>
    </row>
    <row r="33" spans="1:22" ht="15" customHeight="1" x14ac:dyDescent="0.35">
      <c r="A33" s="140" t="s">
        <v>26</v>
      </c>
      <c r="B33" s="81">
        <f t="shared" ref="B33:J33" si="8">SUM(B25:B32)</f>
        <v>357840</v>
      </c>
      <c r="C33" s="69">
        <f t="shared" si="8"/>
        <v>356378</v>
      </c>
      <c r="D33" s="69">
        <f t="shared" si="8"/>
        <v>358289</v>
      </c>
      <c r="E33" s="69">
        <f t="shared" si="8"/>
        <v>364304</v>
      </c>
      <c r="F33" s="81">
        <f t="shared" si="8"/>
        <v>519791</v>
      </c>
      <c r="G33" s="69">
        <f t="shared" si="8"/>
        <v>526257</v>
      </c>
      <c r="H33" s="69">
        <f t="shared" si="8"/>
        <v>518528</v>
      </c>
      <c r="I33" s="69">
        <f t="shared" si="8"/>
        <v>505703</v>
      </c>
      <c r="J33" s="81">
        <f t="shared" si="8"/>
        <v>621005</v>
      </c>
      <c r="K33" s="69">
        <f>SUM(K25:K32)</f>
        <v>520121</v>
      </c>
      <c r="L33" s="69">
        <f>SUM(L25:L32)</f>
        <v>477089</v>
      </c>
      <c r="M33" s="69">
        <f>SUM(M25:M32)</f>
        <v>498212</v>
      </c>
      <c r="N33" s="81">
        <f t="shared" ref="N33" si="9">SUM(N25:N32)</f>
        <v>605344</v>
      </c>
      <c r="O33" s="69">
        <f>SUM(O25:O32)</f>
        <v>564897</v>
      </c>
      <c r="P33" s="69">
        <f>SUM(P25:P32)</f>
        <v>553567</v>
      </c>
      <c r="V33" s="3"/>
    </row>
    <row r="34" spans="1:22" ht="15" customHeight="1" x14ac:dyDescent="0.35">
      <c r="A34" s="2" t="s">
        <v>27</v>
      </c>
      <c r="B34" s="92">
        <v>139</v>
      </c>
      <c r="C34" s="87">
        <v>410</v>
      </c>
      <c r="D34" s="87">
        <v>518</v>
      </c>
      <c r="E34" s="87">
        <v>752</v>
      </c>
      <c r="F34" s="92">
        <v>686</v>
      </c>
      <c r="G34" s="87">
        <v>28900</v>
      </c>
      <c r="H34" s="87">
        <v>28088</v>
      </c>
      <c r="I34" s="87">
        <v>28719</v>
      </c>
      <c r="J34" s="92">
        <v>2497</v>
      </c>
      <c r="K34" s="87">
        <v>2552</v>
      </c>
      <c r="L34" s="87">
        <v>3251</v>
      </c>
      <c r="M34" s="87">
        <v>6438</v>
      </c>
      <c r="N34" s="92">
        <v>10770</v>
      </c>
      <c r="O34" s="87">
        <v>8421</v>
      </c>
      <c r="P34" s="87">
        <v>8489</v>
      </c>
    </row>
    <row r="35" spans="1:22" ht="15" customHeight="1" x14ac:dyDescent="0.35">
      <c r="A35" s="2" t="s">
        <v>28</v>
      </c>
      <c r="B35" s="77">
        <v>1445</v>
      </c>
      <c r="C35" s="66">
        <v>1900</v>
      </c>
      <c r="D35" s="66">
        <v>1996</v>
      </c>
      <c r="E35" s="66">
        <v>2262</v>
      </c>
      <c r="F35" s="77">
        <v>3221</v>
      </c>
      <c r="G35" s="66">
        <v>3276</v>
      </c>
      <c r="H35" s="66">
        <v>3405</v>
      </c>
      <c r="I35" s="66">
        <v>3690</v>
      </c>
      <c r="J35" s="77">
        <v>5149</v>
      </c>
      <c r="K35" s="66">
        <v>5748</v>
      </c>
      <c r="L35" s="66">
        <v>5472</v>
      </c>
      <c r="M35" s="66">
        <v>5942</v>
      </c>
      <c r="N35" s="77">
        <v>5537</v>
      </c>
      <c r="O35" s="66">
        <v>6893</v>
      </c>
      <c r="P35" s="66">
        <v>8002</v>
      </c>
    </row>
    <row r="36" spans="1:22" ht="15" customHeight="1" x14ac:dyDescent="0.35">
      <c r="A36" s="2" t="s">
        <v>29</v>
      </c>
      <c r="B36" s="77">
        <v>3272</v>
      </c>
      <c r="C36" s="66">
        <v>3201</v>
      </c>
      <c r="D36" s="66">
        <v>2907</v>
      </c>
      <c r="E36" s="66">
        <v>2933</v>
      </c>
      <c r="F36" s="77">
        <v>77611</v>
      </c>
      <c r="G36" s="66">
        <f>77896-75276</f>
        <v>2620</v>
      </c>
      <c r="H36" s="66">
        <v>2621</v>
      </c>
      <c r="I36" s="66">
        <v>2525</v>
      </c>
      <c r="J36" s="77">
        <v>2158</v>
      </c>
      <c r="K36" s="66">
        <v>2022</v>
      </c>
      <c r="L36" s="66">
        <v>1758</v>
      </c>
      <c r="M36" s="66">
        <v>2766</v>
      </c>
      <c r="N36" s="77">
        <v>2490</v>
      </c>
      <c r="O36" s="66">
        <v>2283</v>
      </c>
      <c r="P36" s="66">
        <v>2051</v>
      </c>
    </row>
    <row r="37" spans="1:22" s="56" customFormat="1" ht="15" customHeight="1" x14ac:dyDescent="0.35">
      <c r="A37" s="56" t="s">
        <v>231</v>
      </c>
      <c r="B37" s="77"/>
      <c r="C37" s="66"/>
      <c r="D37" s="66"/>
      <c r="E37" s="66"/>
      <c r="F37" s="77"/>
      <c r="G37" s="66"/>
      <c r="H37" s="66"/>
      <c r="I37" s="66"/>
      <c r="J37" s="77"/>
      <c r="K37" s="66"/>
      <c r="L37" s="66"/>
      <c r="M37" s="66"/>
      <c r="N37" s="77"/>
      <c r="O37" s="66">
        <v>166920</v>
      </c>
      <c r="P37" s="66">
        <v>148170</v>
      </c>
    </row>
    <row r="38" spans="1:22" ht="15" customHeight="1" x14ac:dyDescent="0.35">
      <c r="A38" s="7" t="s">
        <v>30</v>
      </c>
      <c r="B38" s="77">
        <v>0</v>
      </c>
      <c r="C38" s="66">
        <v>0</v>
      </c>
      <c r="D38" s="66">
        <v>0</v>
      </c>
      <c r="E38" s="66">
        <v>0</v>
      </c>
      <c r="F38" s="77">
        <v>0</v>
      </c>
      <c r="G38" s="66">
        <v>4697</v>
      </c>
      <c r="H38" s="66">
        <v>2824</v>
      </c>
      <c r="I38" s="66">
        <v>4290</v>
      </c>
      <c r="J38" s="77">
        <f>2793</f>
        <v>2793</v>
      </c>
      <c r="K38" s="66">
        <v>5246</v>
      </c>
      <c r="L38" s="66">
        <v>4104</v>
      </c>
      <c r="M38" s="66">
        <v>3669</v>
      </c>
      <c r="N38" s="77">
        <v>5103</v>
      </c>
      <c r="O38" s="66">
        <v>4706</v>
      </c>
      <c r="P38" s="66">
        <v>4327</v>
      </c>
    </row>
    <row r="39" spans="1:22" ht="15" customHeight="1" x14ac:dyDescent="0.35">
      <c r="A39" s="8" t="s">
        <v>31</v>
      </c>
      <c r="B39" s="81">
        <f t="shared" ref="B39:E39" si="10">SUM(B34:B38)</f>
        <v>4856</v>
      </c>
      <c r="C39" s="69">
        <f t="shared" si="10"/>
        <v>5511</v>
      </c>
      <c r="D39" s="69">
        <f t="shared" si="10"/>
        <v>5421</v>
      </c>
      <c r="E39" s="69">
        <f t="shared" si="10"/>
        <v>5947</v>
      </c>
      <c r="F39" s="81">
        <f>SUM(F34:F38)</f>
        <v>81518</v>
      </c>
      <c r="G39" s="69">
        <f>SUM(G34:G38)</f>
        <v>39493</v>
      </c>
      <c r="H39" s="69">
        <f>SUM(H34:H38)</f>
        <v>36938</v>
      </c>
      <c r="I39" s="69">
        <v>39224</v>
      </c>
      <c r="J39" s="81">
        <f t="shared" ref="J39:O39" si="11">SUM(J34:J38)</f>
        <v>12597</v>
      </c>
      <c r="K39" s="69">
        <f t="shared" si="11"/>
        <v>15568</v>
      </c>
      <c r="L39" s="69">
        <f t="shared" si="11"/>
        <v>14585</v>
      </c>
      <c r="M39" s="69">
        <f t="shared" si="11"/>
        <v>18815</v>
      </c>
      <c r="N39" s="81">
        <f t="shared" si="11"/>
        <v>23900</v>
      </c>
      <c r="O39" s="69">
        <f t="shared" si="11"/>
        <v>189223</v>
      </c>
      <c r="P39" s="69">
        <f t="shared" ref="P39" si="12">SUM(P34:P38)</f>
        <v>171039</v>
      </c>
    </row>
    <row r="40" spans="1:22" ht="15" customHeight="1" x14ac:dyDescent="0.35">
      <c r="A40" s="5" t="s">
        <v>32</v>
      </c>
      <c r="B40" s="81">
        <f t="shared" ref="B40:E40" si="13">SUM(B33,B39)</f>
        <v>362696</v>
      </c>
      <c r="C40" s="69">
        <f t="shared" si="13"/>
        <v>361889</v>
      </c>
      <c r="D40" s="69">
        <f t="shared" si="13"/>
        <v>363710</v>
      </c>
      <c r="E40" s="69">
        <f t="shared" si="13"/>
        <v>370251</v>
      </c>
      <c r="F40" s="81">
        <f>SUM(F33,F39)</f>
        <v>601309</v>
      </c>
      <c r="G40" s="69">
        <f>SUM(G33,G39)</f>
        <v>565750</v>
      </c>
      <c r="H40" s="69">
        <f>SUM(H33,H39)</f>
        <v>555466</v>
      </c>
      <c r="I40" s="69">
        <v>544927</v>
      </c>
      <c r="J40" s="81">
        <f t="shared" ref="J40:O40" si="14">SUM(J33,J39)</f>
        <v>633602</v>
      </c>
      <c r="K40" s="69">
        <f t="shared" si="14"/>
        <v>535689</v>
      </c>
      <c r="L40" s="69">
        <f t="shared" si="14"/>
        <v>491674</v>
      </c>
      <c r="M40" s="69">
        <f t="shared" si="14"/>
        <v>517027</v>
      </c>
      <c r="N40" s="81">
        <f t="shared" si="14"/>
        <v>629244</v>
      </c>
      <c r="O40" s="69">
        <f t="shared" si="14"/>
        <v>754120</v>
      </c>
      <c r="P40" s="69">
        <f t="shared" ref="P40" si="15">SUM(P33,P39)</f>
        <v>724606</v>
      </c>
    </row>
    <row r="41" spans="1:22" ht="15" customHeight="1" x14ac:dyDescent="0.35">
      <c r="A41" s="2" t="s">
        <v>33</v>
      </c>
      <c r="B41" s="152"/>
      <c r="C41" s="142"/>
      <c r="D41" s="142"/>
      <c r="E41" s="142"/>
      <c r="F41" s="152"/>
      <c r="G41" s="142"/>
      <c r="H41" s="142"/>
      <c r="I41" s="142"/>
      <c r="J41" s="152"/>
      <c r="K41" s="142"/>
      <c r="L41" s="142"/>
      <c r="M41" s="142"/>
      <c r="N41" s="152"/>
      <c r="O41" s="142"/>
      <c r="P41" s="142"/>
    </row>
    <row r="42" spans="1:22" ht="15" customHeight="1" x14ac:dyDescent="0.35">
      <c r="A42" s="2" t="s">
        <v>34</v>
      </c>
      <c r="B42" s="78"/>
      <c r="C42" s="61"/>
      <c r="D42" s="61"/>
      <c r="E42" s="61"/>
      <c r="F42" s="78"/>
      <c r="G42" s="61"/>
      <c r="H42" s="61"/>
      <c r="I42" s="61"/>
      <c r="J42" s="78"/>
      <c r="K42" s="61"/>
      <c r="L42" s="61"/>
      <c r="M42" s="61"/>
      <c r="N42" s="78"/>
      <c r="O42" s="61"/>
      <c r="P42" s="61"/>
    </row>
    <row r="43" spans="1:22" x14ac:dyDescent="0.35">
      <c r="A43" s="10" t="s">
        <v>148</v>
      </c>
      <c r="B43" s="77">
        <v>2052</v>
      </c>
      <c r="C43" s="66">
        <v>2063</v>
      </c>
      <c r="D43" s="66">
        <v>2082</v>
      </c>
      <c r="E43" s="66">
        <v>2087</v>
      </c>
      <c r="F43" s="77">
        <v>2093</v>
      </c>
      <c r="G43" s="66">
        <v>2112</v>
      </c>
      <c r="H43" s="66">
        <v>2128</v>
      </c>
      <c r="I43" s="66">
        <v>2137</v>
      </c>
      <c r="J43" s="77">
        <v>2152</v>
      </c>
      <c r="K43" s="66">
        <v>2157</v>
      </c>
      <c r="L43" s="66">
        <v>2177</v>
      </c>
      <c r="M43" s="66">
        <v>2182</v>
      </c>
      <c r="N43" s="77">
        <v>2201</v>
      </c>
      <c r="O43" s="66">
        <v>2157</v>
      </c>
      <c r="P43" s="66">
        <v>2157</v>
      </c>
    </row>
    <row r="44" spans="1:22" s="56" customFormat="1" ht="12.85" customHeight="1" x14ac:dyDescent="0.35">
      <c r="A44" s="56" t="s">
        <v>219</v>
      </c>
      <c r="B44" s="77"/>
      <c r="C44" s="66"/>
      <c r="D44" s="66"/>
      <c r="E44" s="66"/>
      <c r="F44" s="77"/>
      <c r="G44" s="66"/>
      <c r="H44" s="66"/>
      <c r="I44" s="66"/>
      <c r="J44" s="77"/>
      <c r="K44" s="66"/>
      <c r="L44" s="66"/>
      <c r="M44" s="66"/>
      <c r="N44" s="77">
        <v>-79159</v>
      </c>
      <c r="O44" s="66">
        <v>-39079</v>
      </c>
      <c r="P44" s="66">
        <v>-26564</v>
      </c>
    </row>
    <row r="45" spans="1:22" ht="15" customHeight="1" x14ac:dyDescent="0.35">
      <c r="A45" s="2" t="s">
        <v>35</v>
      </c>
      <c r="B45" s="77">
        <v>425220</v>
      </c>
      <c r="C45" s="66">
        <v>438945</v>
      </c>
      <c r="D45" s="66">
        <v>456242</v>
      </c>
      <c r="E45" s="66">
        <v>470871</v>
      </c>
      <c r="F45" s="77">
        <v>488277</v>
      </c>
      <c r="G45" s="66">
        <v>514649</v>
      </c>
      <c r="H45" s="66">
        <v>540998</v>
      </c>
      <c r="I45" s="66">
        <v>568171</v>
      </c>
      <c r="J45" s="77">
        <v>591404</v>
      </c>
      <c r="K45" s="66">
        <v>610281</v>
      </c>
      <c r="L45" s="66">
        <v>630772</v>
      </c>
      <c r="M45" s="66">
        <v>648139</v>
      </c>
      <c r="N45" s="77">
        <v>663281</v>
      </c>
      <c r="O45" s="66">
        <v>641094</v>
      </c>
      <c r="P45" s="66">
        <v>652572</v>
      </c>
    </row>
    <row r="46" spans="1:22" ht="15" customHeight="1" x14ac:dyDescent="0.35">
      <c r="A46" s="2" t="s">
        <v>36</v>
      </c>
      <c r="B46" s="77">
        <v>-69023</v>
      </c>
      <c r="C46" s="66">
        <v>-48904</v>
      </c>
      <c r="D46" s="66">
        <v>-60329</v>
      </c>
      <c r="E46" s="66">
        <v>-57902</v>
      </c>
      <c r="F46" s="77">
        <v>-88593</v>
      </c>
      <c r="G46" s="66">
        <v>-79742</v>
      </c>
      <c r="H46" s="66">
        <v>-42615</v>
      </c>
      <c r="I46" s="66">
        <v>-21386</v>
      </c>
      <c r="J46" s="77">
        <v>-12241</v>
      </c>
      <c r="K46" s="66">
        <v>12710</v>
      </c>
      <c r="L46" s="66">
        <v>-20722</v>
      </c>
      <c r="M46" s="66">
        <v>-25788</v>
      </c>
      <c r="N46" s="77">
        <v>-30522</v>
      </c>
      <c r="O46" s="66">
        <v>-41869</v>
      </c>
      <c r="P46" s="66">
        <v>-33293</v>
      </c>
    </row>
    <row r="47" spans="1:22" ht="15" customHeight="1" x14ac:dyDescent="0.35">
      <c r="A47" s="2" t="s">
        <v>37</v>
      </c>
      <c r="B47" s="80">
        <v>116076</v>
      </c>
      <c r="C47" s="68">
        <v>133206</v>
      </c>
      <c r="D47" s="68">
        <v>145407</v>
      </c>
      <c r="E47" s="68">
        <v>158945</v>
      </c>
      <c r="F47" s="80">
        <v>198355</v>
      </c>
      <c r="G47" s="68">
        <v>222239</v>
      </c>
      <c r="H47" s="68">
        <v>228141</v>
      </c>
      <c r="I47" s="68">
        <v>247821</v>
      </c>
      <c r="J47" s="80">
        <v>300210</v>
      </c>
      <c r="K47" s="68">
        <v>320020</v>
      </c>
      <c r="L47" s="68">
        <v>333725</v>
      </c>
      <c r="M47" s="68">
        <v>355003</v>
      </c>
      <c r="N47" s="80">
        <v>387869</v>
      </c>
      <c r="O47" s="68">
        <v>403200</v>
      </c>
      <c r="P47" s="68">
        <v>401209</v>
      </c>
    </row>
    <row r="48" spans="1:22" ht="12.85" customHeight="1" x14ac:dyDescent="0.35">
      <c r="A48" s="5" t="s">
        <v>38</v>
      </c>
      <c r="B48" s="81">
        <f t="shared" ref="B48:E48" si="16">SUM(B43:B47)</f>
        <v>474325</v>
      </c>
      <c r="C48" s="69">
        <f t="shared" si="16"/>
        <v>525310</v>
      </c>
      <c r="D48" s="69">
        <f t="shared" si="16"/>
        <v>543402</v>
      </c>
      <c r="E48" s="69">
        <f t="shared" si="16"/>
        <v>574001</v>
      </c>
      <c r="F48" s="81">
        <f>SUM(F43:F47)</f>
        <v>600132</v>
      </c>
      <c r="G48" s="69">
        <f>SUM(G43:G47)</f>
        <v>659258</v>
      </c>
      <c r="H48" s="69">
        <f>SUM(H43:H47)</f>
        <v>728652</v>
      </c>
      <c r="I48" s="69">
        <v>796743</v>
      </c>
      <c r="J48" s="81">
        <f t="shared" ref="J48:P48" si="17">SUM(J43:J47)</f>
        <v>881525</v>
      </c>
      <c r="K48" s="69">
        <f t="shared" si="17"/>
        <v>945168</v>
      </c>
      <c r="L48" s="69">
        <f t="shared" si="17"/>
        <v>945952</v>
      </c>
      <c r="M48" s="69">
        <f t="shared" si="17"/>
        <v>979536</v>
      </c>
      <c r="N48" s="81">
        <f t="shared" si="17"/>
        <v>943670</v>
      </c>
      <c r="O48" s="69">
        <f t="shared" si="17"/>
        <v>965503</v>
      </c>
      <c r="P48" s="69">
        <f t="shared" si="17"/>
        <v>996081</v>
      </c>
    </row>
    <row r="49" spans="1:16" ht="15" customHeight="1" x14ac:dyDescent="0.35">
      <c r="A49" s="2" t="s">
        <v>39</v>
      </c>
      <c r="B49" s="82">
        <v>4698</v>
      </c>
      <c r="C49" s="70">
        <v>6514</v>
      </c>
      <c r="D49" s="70">
        <v>8304</v>
      </c>
      <c r="E49" s="70">
        <v>9713</v>
      </c>
      <c r="F49" s="82">
        <v>9745</v>
      </c>
      <c r="G49" s="70">
        <v>12381</v>
      </c>
      <c r="H49" s="70">
        <v>14027</v>
      </c>
      <c r="I49" s="70">
        <v>16524</v>
      </c>
      <c r="J49" s="82">
        <v>16173</v>
      </c>
      <c r="K49" s="70">
        <v>18503</v>
      </c>
      <c r="L49" s="70">
        <v>18916</v>
      </c>
      <c r="M49" s="70">
        <v>19380</v>
      </c>
      <c r="N49" s="82">
        <v>24221</v>
      </c>
      <c r="O49" s="70">
        <v>26293</v>
      </c>
      <c r="P49" s="70">
        <v>28882</v>
      </c>
    </row>
    <row r="50" spans="1:16" ht="15" customHeight="1" x14ac:dyDescent="0.35">
      <c r="A50" s="8" t="s">
        <v>40</v>
      </c>
      <c r="B50" s="81">
        <f t="shared" ref="B50:E50" si="18">+B49+B48</f>
        <v>479023</v>
      </c>
      <c r="C50" s="69">
        <f t="shared" si="18"/>
        <v>531824</v>
      </c>
      <c r="D50" s="69">
        <f t="shared" si="18"/>
        <v>551706</v>
      </c>
      <c r="E50" s="69">
        <f t="shared" si="18"/>
        <v>583714</v>
      </c>
      <c r="F50" s="81">
        <f t="shared" ref="F50:J50" si="19">+F49+F48</f>
        <v>609877</v>
      </c>
      <c r="G50" s="69">
        <f>SUM(G48:G49)</f>
        <v>671639</v>
      </c>
      <c r="H50" s="69">
        <f>SUM(H48:H49)</f>
        <v>742679</v>
      </c>
      <c r="I50" s="69">
        <v>813267</v>
      </c>
      <c r="J50" s="81">
        <f t="shared" si="19"/>
        <v>897698</v>
      </c>
      <c r="K50" s="69">
        <f>+K49+K48</f>
        <v>963671</v>
      </c>
      <c r="L50" s="69">
        <f>+L49+L48</f>
        <v>964868</v>
      </c>
      <c r="M50" s="69">
        <f>+M49+M48</f>
        <v>998916</v>
      </c>
      <c r="N50" s="81">
        <f t="shared" ref="N50" si="20">+N49+N48</f>
        <v>967891</v>
      </c>
      <c r="O50" s="69">
        <f>+O49+O48</f>
        <v>991796</v>
      </c>
      <c r="P50" s="69">
        <f>+P49+P48</f>
        <v>1024963</v>
      </c>
    </row>
    <row r="51" spans="1:16" ht="15" customHeight="1" thickBot="1" x14ac:dyDescent="0.4">
      <c r="A51" s="11" t="s">
        <v>41</v>
      </c>
      <c r="B51" s="150">
        <f t="shared" ref="B51:E51" si="21">SUM(B40,B50)</f>
        <v>841719</v>
      </c>
      <c r="C51" s="59">
        <f t="shared" si="21"/>
        <v>893713</v>
      </c>
      <c r="D51" s="59">
        <f t="shared" si="21"/>
        <v>915416</v>
      </c>
      <c r="E51" s="59">
        <f t="shared" si="21"/>
        <v>953965</v>
      </c>
      <c r="F51" s="150">
        <f t="shared" ref="F51:K51" si="22">SUM(F40,F50)</f>
        <v>1211186</v>
      </c>
      <c r="G51" s="59">
        <f t="shared" si="22"/>
        <v>1237389</v>
      </c>
      <c r="H51" s="59">
        <f t="shared" si="22"/>
        <v>1298145</v>
      </c>
      <c r="I51" s="59">
        <f t="shared" si="22"/>
        <v>1358194</v>
      </c>
      <c r="J51" s="150">
        <f t="shared" si="22"/>
        <v>1531300</v>
      </c>
      <c r="K51" s="59">
        <f t="shared" si="22"/>
        <v>1499360</v>
      </c>
      <c r="L51" s="59">
        <f t="shared" ref="L51" si="23">SUM(L40,L50)</f>
        <v>1456542</v>
      </c>
      <c r="M51" s="59">
        <v>1515943</v>
      </c>
      <c r="N51" s="150">
        <f t="shared" ref="N51:O51" si="24">SUM(N40,N50)</f>
        <v>1597135</v>
      </c>
      <c r="O51" s="59">
        <f t="shared" si="24"/>
        <v>1745916</v>
      </c>
      <c r="P51" s="59">
        <f t="shared" ref="P51" si="25">SUM(P40,P50)</f>
        <v>1749569</v>
      </c>
    </row>
    <row r="52" spans="1:16" ht="15" customHeight="1" thickTop="1" x14ac:dyDescent="0.35">
      <c r="B52" s="22"/>
      <c r="F52" s="22"/>
      <c r="J52" s="22"/>
      <c r="N52" s="22"/>
    </row>
    <row r="53" spans="1:16" ht="15" customHeight="1" x14ac:dyDescent="0.35"/>
    <row r="54" spans="1:16" ht="15" customHeight="1" x14ac:dyDescent="0.35"/>
    <row r="55" spans="1:16" ht="15" customHeight="1" x14ac:dyDescent="0.35"/>
    <row r="56" spans="1:16" ht="15" customHeight="1" x14ac:dyDescent="0.35"/>
    <row r="57" spans="1:16" ht="15" customHeight="1" x14ac:dyDescent="0.35"/>
    <row r="58" spans="1:16" ht="15" customHeight="1" x14ac:dyDescent="0.35"/>
    <row r="59" spans="1:16" ht="15" customHeight="1" x14ac:dyDescent="0.35"/>
    <row r="60" spans="1:16" ht="15" customHeight="1" x14ac:dyDescent="0.35"/>
    <row r="61" spans="1:16" ht="15" customHeight="1" x14ac:dyDescent="0.35"/>
    <row r="62" spans="1:16" ht="15" customHeight="1" x14ac:dyDescent="0.35"/>
    <row r="63" spans="1:16" ht="15" customHeight="1" x14ac:dyDescent="0.35"/>
    <row r="64" spans="1:16"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5"/>
  <sheetViews>
    <sheetView showGridLines="0" tabSelected="1" zoomScale="70" zoomScaleNormal="70" workbookViewId="0"/>
  </sheetViews>
  <sheetFormatPr defaultColWidth="12.640625" defaultRowHeight="12.75" x14ac:dyDescent="0.35"/>
  <cols>
    <col min="1" max="1" width="71" style="15" bestFit="1" customWidth="1"/>
    <col min="2" max="20" width="15.640625" style="15" customWidth="1"/>
    <col min="21" max="16384" width="12.640625" style="15"/>
  </cols>
  <sheetData>
    <row r="1" spans="1:22" ht="13.15" x14ac:dyDescent="0.4">
      <c r="A1" s="14" t="s">
        <v>179</v>
      </c>
    </row>
    <row r="2" spans="1:22" ht="26.25" x14ac:dyDescent="0.4">
      <c r="A2" s="15" t="s">
        <v>180</v>
      </c>
      <c r="B2" s="42" t="s">
        <v>192</v>
      </c>
      <c r="C2" s="42" t="s">
        <v>191</v>
      </c>
      <c r="D2" s="42" t="s">
        <v>193</v>
      </c>
      <c r="E2" s="42" t="s">
        <v>194</v>
      </c>
      <c r="F2" s="42" t="s">
        <v>192</v>
      </c>
      <c r="G2" s="42" t="s">
        <v>191</v>
      </c>
      <c r="H2" s="42" t="s">
        <v>193</v>
      </c>
      <c r="I2" s="42" t="s">
        <v>194</v>
      </c>
      <c r="J2" s="42" t="s">
        <v>192</v>
      </c>
      <c r="K2" s="42" t="s">
        <v>191</v>
      </c>
      <c r="L2" s="42" t="s">
        <v>193</v>
      </c>
      <c r="M2" s="42" t="s">
        <v>194</v>
      </c>
      <c r="N2" s="42" t="s">
        <v>192</v>
      </c>
      <c r="O2" s="42" t="s">
        <v>191</v>
      </c>
      <c r="P2" s="42" t="s">
        <v>193</v>
      </c>
      <c r="Q2" s="42" t="s">
        <v>194</v>
      </c>
      <c r="R2" s="42" t="s">
        <v>192</v>
      </c>
      <c r="S2" s="42" t="s">
        <v>191</v>
      </c>
      <c r="T2" s="155"/>
    </row>
    <row r="3" spans="1:22" s="2" customFormat="1" ht="15" customHeight="1" x14ac:dyDescent="0.4">
      <c r="B3" s="44">
        <v>42094</v>
      </c>
      <c r="C3" s="45">
        <v>42185</v>
      </c>
      <c r="D3" s="45">
        <v>42277</v>
      </c>
      <c r="E3" s="46">
        <v>42369</v>
      </c>
      <c r="F3" s="44">
        <v>42460</v>
      </c>
      <c r="G3" s="45">
        <v>42551</v>
      </c>
      <c r="H3" s="45">
        <v>42643</v>
      </c>
      <c r="I3" s="46">
        <v>42735</v>
      </c>
      <c r="J3" s="44">
        <v>42825</v>
      </c>
      <c r="K3" s="45">
        <v>42916</v>
      </c>
      <c r="L3" s="45">
        <v>43008</v>
      </c>
      <c r="M3" s="46">
        <v>43100</v>
      </c>
      <c r="N3" s="44">
        <v>43190</v>
      </c>
      <c r="O3" s="45">
        <v>43281</v>
      </c>
      <c r="P3" s="45" t="s">
        <v>217</v>
      </c>
      <c r="Q3" s="46">
        <v>43465</v>
      </c>
      <c r="R3" s="44">
        <v>43555</v>
      </c>
      <c r="S3" s="44">
        <v>43646</v>
      </c>
      <c r="T3" s="159"/>
    </row>
    <row r="4" spans="1:22" s="2" customFormat="1" x14ac:dyDescent="0.35">
      <c r="A4" s="2" t="s">
        <v>211</v>
      </c>
      <c r="B4" s="87">
        <v>60902695</v>
      </c>
      <c r="C4" s="107">
        <f>B4</f>
        <v>60902695</v>
      </c>
      <c r="D4" s="107">
        <f>B4</f>
        <v>60902695</v>
      </c>
      <c r="E4" s="107">
        <f>B4</f>
        <v>60902695</v>
      </c>
      <c r="F4" s="107">
        <f>E12</f>
        <v>62470881</v>
      </c>
      <c r="G4" s="107">
        <f>F4</f>
        <v>62470881</v>
      </c>
      <c r="H4" s="107">
        <f>F4</f>
        <v>62470881</v>
      </c>
      <c r="I4" s="107">
        <f>F4</f>
        <v>62470881</v>
      </c>
      <c r="J4" s="107">
        <f>I12</f>
        <v>63978204</v>
      </c>
      <c r="K4" s="107">
        <f>J4</f>
        <v>63978204</v>
      </c>
      <c r="L4" s="107">
        <f>J4</f>
        <v>63978204</v>
      </c>
      <c r="M4" s="107">
        <f>J4</f>
        <v>63978204</v>
      </c>
      <c r="N4" s="107">
        <f>M12</f>
        <v>66085097</v>
      </c>
      <c r="O4" s="107">
        <f>N4</f>
        <v>66085097</v>
      </c>
      <c r="P4" s="107">
        <f>O4</f>
        <v>66085097</v>
      </c>
      <c r="Q4" s="107">
        <f>N4</f>
        <v>66085097</v>
      </c>
      <c r="R4" s="107">
        <f>Q12</f>
        <v>64249084</v>
      </c>
      <c r="S4" s="107">
        <f>R4</f>
        <v>64249084</v>
      </c>
      <c r="T4" s="120"/>
    </row>
    <row r="5" spans="1:22" s="2" customFormat="1" ht="15" customHeight="1" x14ac:dyDescent="0.35">
      <c r="A5" s="2" t="s">
        <v>127</v>
      </c>
      <c r="B5" s="66">
        <v>271473</v>
      </c>
      <c r="C5" s="66">
        <v>545983</v>
      </c>
      <c r="D5" s="66">
        <v>759613</v>
      </c>
      <c r="E5" s="66">
        <v>932804</v>
      </c>
      <c r="F5" s="66">
        <v>139132</v>
      </c>
      <c r="G5" s="66">
        <v>457340</v>
      </c>
      <c r="H5" s="66">
        <v>693041</v>
      </c>
      <c r="I5" s="66">
        <v>866911</v>
      </c>
      <c r="J5" s="66">
        <v>210990</v>
      </c>
      <c r="K5" s="66">
        <v>633033</v>
      </c>
      <c r="L5" s="66">
        <v>903547</v>
      </c>
      <c r="M5" s="66">
        <v>1164832</v>
      </c>
      <c r="N5" s="66">
        <v>75278</v>
      </c>
      <c r="O5" s="66">
        <v>169379</v>
      </c>
      <c r="P5" s="66">
        <v>446274</v>
      </c>
      <c r="Q5" s="66">
        <v>371793</v>
      </c>
      <c r="R5" s="66">
        <v>87693</v>
      </c>
      <c r="S5" s="66">
        <v>210783</v>
      </c>
      <c r="T5" s="66"/>
    </row>
    <row r="6" spans="1:22" s="2" customFormat="1" ht="15" customHeight="1" x14ac:dyDescent="0.4">
      <c r="A6" s="43" t="s">
        <v>128</v>
      </c>
      <c r="B6" s="105">
        <f t="shared" ref="B6:E6" si="0">SUM(B4:B5)</f>
        <v>61174168</v>
      </c>
      <c r="C6" s="105">
        <f t="shared" si="0"/>
        <v>61448678</v>
      </c>
      <c r="D6" s="105">
        <f t="shared" si="0"/>
        <v>61662308</v>
      </c>
      <c r="E6" s="105">
        <f t="shared" si="0"/>
        <v>61835499</v>
      </c>
      <c r="F6" s="105">
        <f t="shared" ref="F6:S6" si="1">SUM(F4:F5)</f>
        <v>62610013</v>
      </c>
      <c r="G6" s="105">
        <f t="shared" si="1"/>
        <v>62928221</v>
      </c>
      <c r="H6" s="105">
        <f t="shared" si="1"/>
        <v>63163922</v>
      </c>
      <c r="I6" s="105">
        <f t="shared" si="1"/>
        <v>63337792</v>
      </c>
      <c r="J6" s="105">
        <f t="shared" si="1"/>
        <v>64189194</v>
      </c>
      <c r="K6" s="105">
        <f t="shared" si="1"/>
        <v>64611237</v>
      </c>
      <c r="L6" s="105">
        <f t="shared" si="1"/>
        <v>64881751</v>
      </c>
      <c r="M6" s="105">
        <f t="shared" si="1"/>
        <v>65143036</v>
      </c>
      <c r="N6" s="105">
        <f t="shared" si="1"/>
        <v>66160375</v>
      </c>
      <c r="O6" s="105">
        <f t="shared" si="1"/>
        <v>66254476</v>
      </c>
      <c r="P6" s="105">
        <f t="shared" si="1"/>
        <v>66531371</v>
      </c>
      <c r="Q6" s="105">
        <f t="shared" si="1"/>
        <v>66456890</v>
      </c>
      <c r="R6" s="105">
        <f t="shared" si="1"/>
        <v>64336777</v>
      </c>
      <c r="S6" s="105">
        <f t="shared" si="1"/>
        <v>64459867</v>
      </c>
      <c r="T6" s="158"/>
    </row>
    <row r="7" spans="1:22" s="2" customFormat="1" ht="15" customHeight="1" x14ac:dyDescent="0.35">
      <c r="A7" s="2" t="s">
        <v>129</v>
      </c>
      <c r="B7" s="66">
        <v>3567774</v>
      </c>
      <c r="C7" s="66">
        <v>3564009</v>
      </c>
      <c r="D7" s="66">
        <v>3433382</v>
      </c>
      <c r="E7" s="66">
        <v>3260987</v>
      </c>
      <c r="F7" s="66">
        <v>2231121</v>
      </c>
      <c r="G7" s="66">
        <v>2304717</v>
      </c>
      <c r="H7" s="66">
        <v>2265835</v>
      </c>
      <c r="I7" s="66">
        <v>2295678</v>
      </c>
      <c r="J7" s="66">
        <v>3093818</v>
      </c>
      <c r="K7" s="66">
        <v>3098552</v>
      </c>
      <c r="L7" s="66">
        <v>2995040</v>
      </c>
      <c r="M7" s="66">
        <v>2708935</v>
      </c>
      <c r="N7" s="66">
        <v>1309363</v>
      </c>
      <c r="O7" s="66">
        <v>1225037</v>
      </c>
      <c r="P7" s="66">
        <v>1333431</v>
      </c>
      <c r="Q7" s="66">
        <v>1206014</v>
      </c>
      <c r="R7" s="66">
        <v>1704519</v>
      </c>
      <c r="S7" s="66">
        <v>1373775</v>
      </c>
      <c r="T7" s="66"/>
    </row>
    <row r="8" spans="1:22" s="2" customFormat="1" ht="15" customHeight="1" x14ac:dyDescent="0.4">
      <c r="A8" s="43" t="s">
        <v>130</v>
      </c>
      <c r="B8" s="105">
        <f t="shared" ref="B8:E8" si="2">SUM(B6:B7)</f>
        <v>64741942</v>
      </c>
      <c r="C8" s="105">
        <f t="shared" si="2"/>
        <v>65012687</v>
      </c>
      <c r="D8" s="105">
        <f t="shared" si="2"/>
        <v>65095690</v>
      </c>
      <c r="E8" s="105">
        <f t="shared" si="2"/>
        <v>65096486</v>
      </c>
      <c r="F8" s="105">
        <f t="shared" ref="F8:S8" si="3">SUM(F6:F7)</f>
        <v>64841134</v>
      </c>
      <c r="G8" s="105">
        <f t="shared" si="3"/>
        <v>65232938</v>
      </c>
      <c r="H8" s="105">
        <f t="shared" si="3"/>
        <v>65429757</v>
      </c>
      <c r="I8" s="105">
        <f t="shared" si="3"/>
        <v>65633470</v>
      </c>
      <c r="J8" s="105">
        <f t="shared" si="3"/>
        <v>67283012</v>
      </c>
      <c r="K8" s="105">
        <f t="shared" si="3"/>
        <v>67709789</v>
      </c>
      <c r="L8" s="105">
        <f t="shared" si="3"/>
        <v>67876791</v>
      </c>
      <c r="M8" s="105">
        <f t="shared" si="3"/>
        <v>67851971</v>
      </c>
      <c r="N8" s="105">
        <f t="shared" si="3"/>
        <v>67469738</v>
      </c>
      <c r="O8" s="105">
        <f t="shared" si="3"/>
        <v>67479513</v>
      </c>
      <c r="P8" s="105">
        <f t="shared" si="3"/>
        <v>67864802</v>
      </c>
      <c r="Q8" s="105">
        <f t="shared" si="3"/>
        <v>67662904</v>
      </c>
      <c r="R8" s="105">
        <f t="shared" si="3"/>
        <v>66041296</v>
      </c>
      <c r="S8" s="105">
        <f t="shared" si="3"/>
        <v>65833642</v>
      </c>
      <c r="T8" s="158"/>
    </row>
    <row r="9" spans="1:22" s="2" customFormat="1" ht="15" customHeight="1" x14ac:dyDescent="0.35">
      <c r="B9" s="15"/>
      <c r="C9" s="15"/>
      <c r="D9" s="15"/>
      <c r="E9" s="15"/>
      <c r="F9" s="15"/>
      <c r="G9" s="15"/>
      <c r="H9" s="15"/>
      <c r="I9" s="15"/>
      <c r="J9" s="15"/>
      <c r="K9" s="15"/>
      <c r="L9" s="15"/>
      <c r="M9" s="15"/>
      <c r="N9" s="15"/>
      <c r="O9" s="15"/>
      <c r="P9" s="15"/>
      <c r="Q9" s="15"/>
      <c r="R9" s="15"/>
      <c r="S9" s="15"/>
      <c r="T9" s="15"/>
    </row>
    <row r="10" spans="1:22" s="2" customFormat="1" ht="15" customHeight="1" x14ac:dyDescent="0.4">
      <c r="A10" s="43" t="s">
        <v>232</v>
      </c>
      <c r="B10" s="128">
        <v>61517945</v>
      </c>
      <c r="C10" s="128">
        <v>61913692</v>
      </c>
      <c r="D10" s="128">
        <v>62249428</v>
      </c>
      <c r="E10" s="128">
        <v>62470881</v>
      </c>
      <c r="F10" s="128">
        <v>62896180</v>
      </c>
      <c r="G10" s="128">
        <v>63562863</v>
      </c>
      <c r="H10" s="128">
        <v>63760491</v>
      </c>
      <c r="I10" s="128">
        <v>63978204</v>
      </c>
      <c r="J10" s="128">
        <v>64665637</v>
      </c>
      <c r="K10" s="128">
        <v>65291977</v>
      </c>
      <c r="L10" s="128">
        <v>65551174</v>
      </c>
      <c r="M10" s="128">
        <v>66085097</v>
      </c>
      <c r="N10" s="128">
        <v>66248351</v>
      </c>
      <c r="O10" s="128">
        <v>66861045</v>
      </c>
      <c r="P10" s="128">
        <v>67231036</v>
      </c>
      <c r="Q10" s="128">
        <v>67708203</v>
      </c>
      <c r="R10" s="128">
        <v>66142511</v>
      </c>
      <c r="S10" s="128">
        <v>66161523</v>
      </c>
      <c r="T10" s="160"/>
    </row>
    <row r="11" spans="1:22" s="56" customFormat="1" ht="15" customHeight="1" x14ac:dyDescent="0.4">
      <c r="A11" s="157" t="s">
        <v>233</v>
      </c>
      <c r="B11" s="70">
        <v>0</v>
      </c>
      <c r="C11" s="70">
        <v>0</v>
      </c>
      <c r="D11" s="70">
        <v>0</v>
      </c>
      <c r="E11" s="70">
        <v>0</v>
      </c>
      <c r="F11" s="70">
        <v>0</v>
      </c>
      <c r="G11" s="70">
        <v>0</v>
      </c>
      <c r="H11" s="70">
        <v>0</v>
      </c>
      <c r="I11" s="70">
        <v>0</v>
      </c>
      <c r="J11" s="70">
        <v>0</v>
      </c>
      <c r="K11" s="70">
        <v>0</v>
      </c>
      <c r="L11" s="70">
        <v>0</v>
      </c>
      <c r="M11" s="70">
        <v>0</v>
      </c>
      <c r="N11" s="70">
        <v>0</v>
      </c>
      <c r="O11" s="70">
        <v>0</v>
      </c>
      <c r="P11" s="70">
        <v>0</v>
      </c>
      <c r="Q11" s="70">
        <v>-3459119</v>
      </c>
      <c r="R11" s="70">
        <v>-1672404</v>
      </c>
      <c r="S11" s="70">
        <v>-1118969</v>
      </c>
      <c r="T11" s="160"/>
    </row>
    <row r="12" spans="1:22" s="56" customFormat="1" ht="15" customHeight="1" x14ac:dyDescent="0.4">
      <c r="A12" s="43" t="s">
        <v>223</v>
      </c>
      <c r="B12" s="104">
        <f>B10+B11</f>
        <v>61517945</v>
      </c>
      <c r="C12" s="104">
        <f t="shared" ref="C12:S12" si="4">C10+C11</f>
        <v>61913692</v>
      </c>
      <c r="D12" s="104">
        <f t="shared" si="4"/>
        <v>62249428</v>
      </c>
      <c r="E12" s="104">
        <f t="shared" si="4"/>
        <v>62470881</v>
      </c>
      <c r="F12" s="104">
        <f t="shared" si="4"/>
        <v>62896180</v>
      </c>
      <c r="G12" s="104">
        <f t="shared" si="4"/>
        <v>63562863</v>
      </c>
      <c r="H12" s="104">
        <f t="shared" si="4"/>
        <v>63760491</v>
      </c>
      <c r="I12" s="104">
        <f t="shared" si="4"/>
        <v>63978204</v>
      </c>
      <c r="J12" s="104">
        <f t="shared" si="4"/>
        <v>64665637</v>
      </c>
      <c r="K12" s="104">
        <f t="shared" si="4"/>
        <v>65291977</v>
      </c>
      <c r="L12" s="104">
        <f t="shared" si="4"/>
        <v>65551174</v>
      </c>
      <c r="M12" s="104">
        <f t="shared" si="4"/>
        <v>66085097</v>
      </c>
      <c r="N12" s="104">
        <f t="shared" si="4"/>
        <v>66248351</v>
      </c>
      <c r="O12" s="104">
        <f t="shared" si="4"/>
        <v>66861045</v>
      </c>
      <c r="P12" s="104">
        <f t="shared" si="4"/>
        <v>67231036</v>
      </c>
      <c r="Q12" s="104">
        <f t="shared" si="4"/>
        <v>64249084</v>
      </c>
      <c r="R12" s="104">
        <f t="shared" si="4"/>
        <v>64470107</v>
      </c>
      <c r="S12" s="104">
        <f t="shared" si="4"/>
        <v>65042554</v>
      </c>
      <c r="T12" s="160"/>
    </row>
    <row r="13" spans="1:22" s="2" customFormat="1" ht="15" customHeight="1" x14ac:dyDescent="0.35">
      <c r="A13" s="2" t="s">
        <v>131</v>
      </c>
      <c r="B13" s="70">
        <v>7769195</v>
      </c>
      <c r="C13" s="70">
        <v>7119504</v>
      </c>
      <c r="D13" s="70">
        <v>6582870</v>
      </c>
      <c r="E13" s="70">
        <v>7798348</v>
      </c>
      <c r="F13" s="70">
        <v>7469069</v>
      </c>
      <c r="G13" s="70">
        <v>8198113</v>
      </c>
      <c r="H13" s="70">
        <v>8165801</v>
      </c>
      <c r="I13" s="70">
        <v>8391496</v>
      </c>
      <c r="J13" s="70">
        <v>7825371</v>
      </c>
      <c r="K13" s="70">
        <f>8351628+135500</f>
        <v>8487128</v>
      </c>
      <c r="L13" s="70">
        <v>8194498</v>
      </c>
      <c r="M13" s="70">
        <v>7591493</v>
      </c>
      <c r="N13" s="70">
        <v>9370543</v>
      </c>
      <c r="O13" s="70">
        <v>8477469</v>
      </c>
      <c r="P13" s="70">
        <v>8368660</v>
      </c>
      <c r="Q13" s="70">
        <v>8259272</v>
      </c>
      <c r="R13" s="70">
        <v>8000740</v>
      </c>
      <c r="S13" s="70">
        <v>7446420</v>
      </c>
      <c r="T13" s="88"/>
    </row>
    <row r="14" spans="1:22" s="2" customFormat="1" ht="15" customHeight="1" x14ac:dyDescent="0.4">
      <c r="A14" s="43" t="s">
        <v>212</v>
      </c>
      <c r="B14" s="105">
        <f>SUM(B12:B13)</f>
        <v>69287140</v>
      </c>
      <c r="C14" s="105">
        <f t="shared" ref="C14:S14" si="5">SUM(C12:C13)</f>
        <v>69033196</v>
      </c>
      <c r="D14" s="105">
        <f t="shared" si="5"/>
        <v>68832298</v>
      </c>
      <c r="E14" s="105">
        <f t="shared" si="5"/>
        <v>70269229</v>
      </c>
      <c r="F14" s="105">
        <f t="shared" si="5"/>
        <v>70365249</v>
      </c>
      <c r="G14" s="105">
        <f t="shared" si="5"/>
        <v>71760976</v>
      </c>
      <c r="H14" s="105">
        <f t="shared" si="5"/>
        <v>71926292</v>
      </c>
      <c r="I14" s="105">
        <f t="shared" si="5"/>
        <v>72369700</v>
      </c>
      <c r="J14" s="105">
        <f t="shared" si="5"/>
        <v>72491008</v>
      </c>
      <c r="K14" s="105">
        <f t="shared" si="5"/>
        <v>73779105</v>
      </c>
      <c r="L14" s="105">
        <f t="shared" si="5"/>
        <v>73745672</v>
      </c>
      <c r="M14" s="105">
        <f t="shared" si="5"/>
        <v>73676590</v>
      </c>
      <c r="N14" s="105">
        <f t="shared" si="5"/>
        <v>75618894</v>
      </c>
      <c r="O14" s="105">
        <f t="shared" si="5"/>
        <v>75338514</v>
      </c>
      <c r="P14" s="105">
        <f t="shared" si="5"/>
        <v>75599696</v>
      </c>
      <c r="Q14" s="105">
        <f t="shared" si="5"/>
        <v>72508356</v>
      </c>
      <c r="R14" s="105">
        <f t="shared" si="5"/>
        <v>72470847</v>
      </c>
      <c r="S14" s="105">
        <f t="shared" si="5"/>
        <v>72488974</v>
      </c>
      <c r="T14" s="158"/>
      <c r="V14" s="9"/>
    </row>
    <row r="15" spans="1:22" s="2" customFormat="1" ht="15" customHeight="1" x14ac:dyDescent="0.35">
      <c r="E15" s="15"/>
      <c r="I15" s="15"/>
      <c r="M15" s="15"/>
      <c r="O15" s="56"/>
      <c r="P15" s="56"/>
      <c r="Q15" s="15"/>
      <c r="R15" s="56"/>
      <c r="S15" s="56"/>
      <c r="T15" s="56"/>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95"/>
  <sheetViews>
    <sheetView showGridLines="0" zoomScale="70" zoomScaleNormal="70" workbookViewId="0">
      <selection activeCell="W34" sqref="W34:W35"/>
    </sheetView>
  </sheetViews>
  <sheetFormatPr defaultColWidth="21.5" defaultRowHeight="12.75" x14ac:dyDescent="0.35"/>
  <cols>
    <col min="1" max="1" width="48.5703125" style="2" customWidth="1"/>
    <col min="2" max="5" width="11.42578125" style="2" customWidth="1"/>
    <col min="6" max="6" width="11.42578125" style="2" hidden="1" customWidth="1"/>
    <col min="7" max="10" width="11.42578125" style="2" customWidth="1"/>
    <col min="11" max="11" width="11.42578125" style="2" hidden="1" customWidth="1"/>
    <col min="12" max="15" width="11.42578125" style="2" customWidth="1"/>
    <col min="16" max="16" width="11.42578125" style="2" hidden="1" customWidth="1"/>
    <col min="17" max="17" width="11.42578125" style="2" customWidth="1"/>
    <col min="18" max="20" width="11.42578125" style="56" customWidth="1"/>
    <col min="21" max="21" width="11.42578125" style="56" hidden="1" customWidth="1"/>
    <col min="22" max="23" width="11.42578125" style="56" customWidth="1"/>
    <col min="24" max="16384" width="21.5" style="2"/>
  </cols>
  <sheetData>
    <row r="1" spans="1:23" ht="15" customHeight="1" x14ac:dyDescent="0.4">
      <c r="A1" s="25" t="s">
        <v>181</v>
      </c>
    </row>
    <row r="2" spans="1:23" ht="15" customHeight="1" x14ac:dyDescent="0.35">
      <c r="A2" s="24" t="s">
        <v>182</v>
      </c>
    </row>
    <row r="3" spans="1:23" ht="25.05" customHeight="1" x14ac:dyDescent="0.4">
      <c r="B3" s="47" t="s">
        <v>166</v>
      </c>
      <c r="C3" s="47" t="s">
        <v>167</v>
      </c>
      <c r="D3" s="47" t="s">
        <v>165</v>
      </c>
      <c r="E3" s="47" t="s">
        <v>132</v>
      </c>
      <c r="F3" s="47"/>
      <c r="G3" s="47" t="s">
        <v>133</v>
      </c>
      <c r="H3" s="47" t="s">
        <v>134</v>
      </c>
      <c r="I3" s="47" t="s">
        <v>135</v>
      </c>
      <c r="J3" s="47" t="s">
        <v>198</v>
      </c>
      <c r="K3" s="47"/>
      <c r="L3" s="47" t="s">
        <v>199</v>
      </c>
      <c r="M3" s="47" t="s">
        <v>200</v>
      </c>
      <c r="N3" s="47" t="s">
        <v>201</v>
      </c>
      <c r="O3" s="47" t="s">
        <v>202</v>
      </c>
      <c r="P3" s="47"/>
      <c r="Q3" s="47" t="s">
        <v>203</v>
      </c>
      <c r="R3" s="47" t="s">
        <v>214</v>
      </c>
      <c r="S3" s="47" t="s">
        <v>218</v>
      </c>
      <c r="T3" s="47" t="s">
        <v>224</v>
      </c>
      <c r="U3" s="47"/>
      <c r="V3" s="47" t="s">
        <v>229</v>
      </c>
      <c r="W3" s="47" t="s">
        <v>241</v>
      </c>
    </row>
    <row r="4" spans="1:23" ht="15" customHeight="1" x14ac:dyDescent="0.35">
      <c r="A4" s="48"/>
      <c r="B4" s="49"/>
      <c r="C4" s="49"/>
      <c r="D4" s="49"/>
      <c r="E4" s="49"/>
      <c r="F4" s="49"/>
      <c r="G4" s="49"/>
      <c r="H4" s="49"/>
      <c r="I4" s="49"/>
      <c r="J4" s="49"/>
      <c r="K4" s="49"/>
      <c r="L4" s="49"/>
      <c r="M4" s="49"/>
      <c r="N4" s="49"/>
      <c r="O4" s="49"/>
      <c r="P4" s="49"/>
      <c r="Q4" s="49"/>
      <c r="R4" s="49"/>
      <c r="S4" s="49"/>
      <c r="T4" s="49"/>
      <c r="U4" s="49"/>
      <c r="V4" s="49"/>
      <c r="W4" s="49"/>
    </row>
    <row r="5" spans="1:23" ht="15" customHeight="1" x14ac:dyDescent="0.4">
      <c r="A5" s="50" t="s">
        <v>136</v>
      </c>
      <c r="B5" s="129">
        <v>7832</v>
      </c>
      <c r="C5" s="129">
        <v>8564</v>
      </c>
      <c r="D5" s="129">
        <v>9290</v>
      </c>
      <c r="E5" s="129">
        <v>10198</v>
      </c>
      <c r="F5" s="129"/>
      <c r="G5" s="129">
        <v>10962</v>
      </c>
      <c r="H5" s="129">
        <v>11874</v>
      </c>
      <c r="I5" s="129">
        <v>12882</v>
      </c>
      <c r="J5" s="129">
        <v>14468</v>
      </c>
      <c r="K5" s="129"/>
      <c r="L5" s="129">
        <v>15423</v>
      </c>
      <c r="M5" s="129">
        <v>16370</v>
      </c>
      <c r="N5" s="129">
        <v>17299</v>
      </c>
      <c r="O5" s="129">
        <v>18118</v>
      </c>
      <c r="P5" s="129"/>
      <c r="Q5" s="129">
        <v>18528</v>
      </c>
      <c r="R5" s="129">
        <v>18936</v>
      </c>
      <c r="S5" s="129">
        <v>19213</v>
      </c>
      <c r="T5" s="129">
        <v>19419</v>
      </c>
      <c r="U5" s="129"/>
      <c r="V5" s="129">
        <v>19373</v>
      </c>
      <c r="W5" s="129">
        <v>19733</v>
      </c>
    </row>
    <row r="6" spans="1:23" ht="15" customHeight="1" x14ac:dyDescent="0.35">
      <c r="A6" s="51"/>
      <c r="B6" s="130"/>
      <c r="C6" s="130"/>
      <c r="D6" s="130"/>
      <c r="E6" s="130"/>
      <c r="F6" s="130"/>
      <c r="G6" s="130"/>
      <c r="H6" s="130"/>
      <c r="I6" s="130"/>
      <c r="J6" s="130"/>
      <c r="K6" s="130"/>
      <c r="L6" s="130"/>
      <c r="M6" s="130"/>
      <c r="N6" s="130"/>
      <c r="O6" s="130"/>
      <c r="P6" s="130"/>
      <c r="Q6" s="130"/>
      <c r="R6" s="130"/>
      <c r="S6" s="130"/>
      <c r="T6" s="130"/>
      <c r="U6" s="130"/>
      <c r="V6" s="130"/>
      <c r="W6" s="130"/>
    </row>
    <row r="7" spans="1:23" ht="15" customHeight="1" x14ac:dyDescent="0.4">
      <c r="A7" s="50" t="s">
        <v>137</v>
      </c>
      <c r="B7" s="131">
        <f>SUM(B8:B10)</f>
        <v>294172</v>
      </c>
      <c r="C7" s="131">
        <f>SUM(C8:C10)</f>
        <v>299306</v>
      </c>
      <c r="D7" s="131">
        <f>SUM(D8:D10)</f>
        <v>332674</v>
      </c>
      <c r="E7" s="131">
        <f>SUM(E8:E10)</f>
        <v>397018</v>
      </c>
      <c r="F7" s="131"/>
      <c r="G7" s="131">
        <f>SUM(G8:G10)</f>
        <v>401253</v>
      </c>
      <c r="H7" s="131">
        <f>SUM(H8:H10)</f>
        <v>407201</v>
      </c>
      <c r="I7" s="131">
        <f>SUM(I8:I10)</f>
        <v>423867</v>
      </c>
      <c r="J7" s="131">
        <f>SUM(J8:J10)</f>
        <v>566825</v>
      </c>
      <c r="K7" s="131"/>
      <c r="L7" s="131">
        <f>SUM(L8:L10)</f>
        <v>516667</v>
      </c>
      <c r="M7" s="131">
        <f>SUM(M8:M10)</f>
        <v>542022</v>
      </c>
      <c r="N7" s="131">
        <f>SUM(N8:N10)</f>
        <v>563973</v>
      </c>
      <c r="O7" s="131">
        <f>SUM(O8:O10)</f>
        <v>674031</v>
      </c>
      <c r="P7" s="131"/>
      <c r="Q7" s="131">
        <f>SUM(Q8:Q10)</f>
        <v>564164</v>
      </c>
      <c r="R7" s="131">
        <f>SUM(R8:R10)</f>
        <v>537185</v>
      </c>
      <c r="S7" s="131">
        <f>SUM(S8:S10)</f>
        <v>528869</v>
      </c>
      <c r="T7" s="131">
        <f>SUM(T8:T10)</f>
        <v>670096</v>
      </c>
      <c r="U7" s="131"/>
      <c r="V7" s="131">
        <f>SUM(V8:V10)</f>
        <v>558123</v>
      </c>
      <c r="W7" s="131">
        <f>SUM(W8:W10)</f>
        <v>528147</v>
      </c>
    </row>
    <row r="8" spans="1:23" ht="15" customHeight="1" x14ac:dyDescent="0.35">
      <c r="A8" s="52" t="s">
        <v>87</v>
      </c>
      <c r="B8" s="132">
        <f>'Rev Ex Tac'!B5</f>
        <v>100624</v>
      </c>
      <c r="C8" s="132">
        <f>'Rev Ex Tac'!C5</f>
        <v>110872</v>
      </c>
      <c r="D8" s="132">
        <f>'Rev Ex Tac'!D5</f>
        <v>124024</v>
      </c>
      <c r="E8" s="132">
        <f>'Rev Ex Tac'!E5</f>
        <v>170133</v>
      </c>
      <c r="F8" s="132"/>
      <c r="G8" s="132">
        <f>'Rev Ex Tac'!G5</f>
        <v>147174</v>
      </c>
      <c r="H8" s="132">
        <f>'Rev Ex Tac'!H5</f>
        <v>156522</v>
      </c>
      <c r="I8" s="132">
        <f>'Rev Ex Tac'!I5</f>
        <v>160739</v>
      </c>
      <c r="J8" s="132">
        <f>'Rev Ex Tac'!J5</f>
        <v>266438</v>
      </c>
      <c r="K8" s="132"/>
      <c r="L8" s="132">
        <f>'Rev Ex Tac'!L5</f>
        <v>208013</v>
      </c>
      <c r="M8" s="132">
        <f>'Rev Ex Tac'!M5</f>
        <v>229392</v>
      </c>
      <c r="N8" s="132">
        <f>'Rev Ex Tac'!N5</f>
        <v>228326</v>
      </c>
      <c r="O8" s="132">
        <f>'Rev Ex Tac'!O5</f>
        <v>324696</v>
      </c>
      <c r="P8" s="132"/>
      <c r="Q8" s="132">
        <f>'Rev Ex Tac'!Q5</f>
        <v>212695</v>
      </c>
      <c r="R8" s="132">
        <f>'Rev Ex Tac'!R5</f>
        <v>212781</v>
      </c>
      <c r="S8" s="132">
        <f>'Rev Ex Tac'!S5</f>
        <v>211247</v>
      </c>
      <c r="T8" s="132">
        <f>'Rev Ex Tac'!T5</f>
        <v>317350</v>
      </c>
      <c r="U8" s="132"/>
      <c r="V8" s="132">
        <f>'Rev Ex Tac'!V5</f>
        <v>217993</v>
      </c>
      <c r="W8" s="132">
        <f>'Rev Ex Tac'!W5</f>
        <v>213974</v>
      </c>
    </row>
    <row r="9" spans="1:23" ht="15" customHeight="1" x14ac:dyDescent="0.35">
      <c r="A9" s="52" t="s">
        <v>88</v>
      </c>
      <c r="B9" s="132">
        <f>'Rev Ex Tac'!B6</f>
        <v>132208</v>
      </c>
      <c r="C9" s="132">
        <f>'Rev Ex Tac'!C6</f>
        <v>126807</v>
      </c>
      <c r="D9" s="132">
        <f>'Rev Ex Tac'!D6</f>
        <v>137185</v>
      </c>
      <c r="E9" s="132">
        <f>'Rev Ex Tac'!E6</f>
        <v>144905</v>
      </c>
      <c r="F9" s="132"/>
      <c r="G9" s="132">
        <f>'Rev Ex Tac'!G6</f>
        <v>159405</v>
      </c>
      <c r="H9" s="132">
        <f>'Rev Ex Tac'!H6</f>
        <v>153899</v>
      </c>
      <c r="I9" s="132">
        <f>'Rev Ex Tac'!I6</f>
        <v>157921</v>
      </c>
      <c r="J9" s="132">
        <f>'Rev Ex Tac'!J6</f>
        <v>189298</v>
      </c>
      <c r="K9" s="132"/>
      <c r="L9" s="132">
        <f>'Rev Ex Tac'!L6</f>
        <v>189092</v>
      </c>
      <c r="M9" s="132">
        <f>'Rev Ex Tac'!M6</f>
        <v>191682</v>
      </c>
      <c r="N9" s="132">
        <f>'Rev Ex Tac'!N6</f>
        <v>207168</v>
      </c>
      <c r="O9" s="132">
        <f>'Rev Ex Tac'!O6</f>
        <v>221019</v>
      </c>
      <c r="P9" s="132"/>
      <c r="Q9" s="132">
        <f>'Rev Ex Tac'!Q6</f>
        <v>222611</v>
      </c>
      <c r="R9" s="132">
        <f>'Rev Ex Tac'!R6</f>
        <v>201080</v>
      </c>
      <c r="S9" s="132">
        <f>'Rev Ex Tac'!S6</f>
        <v>195230</v>
      </c>
      <c r="T9" s="132">
        <f>'Rev Ex Tac'!T6</f>
        <v>220904</v>
      </c>
      <c r="U9" s="132"/>
      <c r="V9" s="132">
        <f>'Rev Ex Tac'!V6</f>
        <v>209643</v>
      </c>
      <c r="W9" s="132">
        <f>'Rev Ex Tac'!W6</f>
        <v>194359</v>
      </c>
    </row>
    <row r="10" spans="1:23" ht="15" customHeight="1" x14ac:dyDescent="0.35">
      <c r="A10" s="52" t="s">
        <v>138</v>
      </c>
      <c r="B10" s="132">
        <f>'Rev Ex Tac'!B7</f>
        <v>61340</v>
      </c>
      <c r="C10" s="132">
        <f>'Rev Ex Tac'!C7</f>
        <v>61627</v>
      </c>
      <c r="D10" s="132">
        <f>'Rev Ex Tac'!D7</f>
        <v>71465</v>
      </c>
      <c r="E10" s="132">
        <f>'Rev Ex Tac'!E7</f>
        <v>81980</v>
      </c>
      <c r="F10" s="132"/>
      <c r="G10" s="132">
        <f>'Rev Ex Tac'!G7</f>
        <v>94674</v>
      </c>
      <c r="H10" s="132">
        <f>'Rev Ex Tac'!H7</f>
        <v>96780</v>
      </c>
      <c r="I10" s="132">
        <f>'Rev Ex Tac'!I7</f>
        <v>105207</v>
      </c>
      <c r="J10" s="132">
        <f>'Rev Ex Tac'!J7</f>
        <v>111089</v>
      </c>
      <c r="K10" s="132"/>
      <c r="L10" s="132">
        <f>'Rev Ex Tac'!L7</f>
        <v>119562</v>
      </c>
      <c r="M10" s="132">
        <f>'Rev Ex Tac'!M7</f>
        <v>120948</v>
      </c>
      <c r="N10" s="132">
        <f>'Rev Ex Tac'!N7</f>
        <v>128479</v>
      </c>
      <c r="O10" s="132">
        <f>'Rev Ex Tac'!O7</f>
        <v>128316</v>
      </c>
      <c r="P10" s="132"/>
      <c r="Q10" s="132">
        <f>'Rev Ex Tac'!Q7</f>
        <v>128858</v>
      </c>
      <c r="R10" s="132">
        <f>'Rev Ex Tac'!R7</f>
        <v>123324</v>
      </c>
      <c r="S10" s="132">
        <f>'Rev Ex Tac'!S7</f>
        <v>122392</v>
      </c>
      <c r="T10" s="132">
        <f>'Rev Ex Tac'!T7</f>
        <v>131842</v>
      </c>
      <c r="U10" s="132"/>
      <c r="V10" s="132">
        <f>'Rev Ex Tac'!V7</f>
        <v>130487</v>
      </c>
      <c r="W10" s="132">
        <f>'Rev Ex Tac'!W7</f>
        <v>119814</v>
      </c>
    </row>
    <row r="11" spans="1:23" ht="15" customHeight="1" x14ac:dyDescent="0.35">
      <c r="A11" s="51"/>
      <c r="B11" s="133"/>
      <c r="C11" s="133"/>
      <c r="D11" s="133"/>
      <c r="E11" s="133"/>
      <c r="F11" s="133"/>
      <c r="G11" s="133"/>
      <c r="H11" s="133"/>
      <c r="I11" s="133"/>
      <c r="J11" s="133"/>
      <c r="K11" s="133"/>
      <c r="L11" s="133"/>
      <c r="M11" s="133"/>
      <c r="N11" s="133"/>
      <c r="O11" s="133"/>
      <c r="P11" s="133"/>
      <c r="Q11" s="133"/>
      <c r="R11" s="133"/>
      <c r="S11" s="133"/>
      <c r="T11" s="133"/>
      <c r="U11" s="133"/>
      <c r="V11" s="133"/>
      <c r="W11" s="133"/>
    </row>
    <row r="12" spans="1:23" ht="15" customHeight="1" x14ac:dyDescent="0.4">
      <c r="A12" s="50" t="s">
        <v>139</v>
      </c>
      <c r="B12" s="131">
        <f t="shared" ref="B12" si="0">SUM(B13:B15)</f>
        <v>-175888</v>
      </c>
      <c r="C12" s="131">
        <f t="shared" ref="C12" si="1">SUM(C13:C15)</f>
        <v>-177239</v>
      </c>
      <c r="D12" s="131">
        <f t="shared" ref="D12" si="2">SUM(D13:D15)</f>
        <v>-198970</v>
      </c>
      <c r="E12" s="131">
        <f t="shared" ref="E12" si="3">SUM(E13:E15)</f>
        <v>-237056</v>
      </c>
      <c r="F12" s="131"/>
      <c r="G12" s="131">
        <f t="shared" ref="G12:J12" si="4">SUM(G13:G15)</f>
        <v>-238755</v>
      </c>
      <c r="H12" s="131">
        <f t="shared" si="4"/>
        <v>-240969</v>
      </c>
      <c r="I12" s="131">
        <f t="shared" si="4"/>
        <v>-247310</v>
      </c>
      <c r="J12" s="131">
        <f t="shared" si="4"/>
        <v>-341877</v>
      </c>
      <c r="K12" s="131"/>
      <c r="L12" s="131">
        <f t="shared" ref="L12:O12" si="5">SUM(L13:L15)</f>
        <v>-306693</v>
      </c>
      <c r="M12" s="131">
        <f t="shared" si="5"/>
        <v>-322200</v>
      </c>
      <c r="N12" s="131">
        <f t="shared" si="5"/>
        <v>-329576</v>
      </c>
      <c r="O12" s="131">
        <f t="shared" si="5"/>
        <v>-397087</v>
      </c>
      <c r="P12" s="131"/>
      <c r="Q12" s="131">
        <f>SUM(Q13:Q15)</f>
        <v>-323746</v>
      </c>
      <c r="R12" s="131">
        <f>SUM(R13:R15)</f>
        <v>-306963</v>
      </c>
      <c r="S12" s="131">
        <f>SUM(S13:S15)</f>
        <v>-305387</v>
      </c>
      <c r="T12" s="131">
        <f>SUM(T13:T15)</f>
        <v>-398238</v>
      </c>
      <c r="U12" s="131"/>
      <c r="V12" s="131">
        <f>SUM(V13:V15)</f>
        <v>-322429</v>
      </c>
      <c r="W12" s="131">
        <f>SUM(W13:W15)</f>
        <v>-304229</v>
      </c>
    </row>
    <row r="13" spans="1:23" ht="15" customHeight="1" x14ac:dyDescent="0.35">
      <c r="A13" s="52" t="s">
        <v>87</v>
      </c>
      <c r="B13" s="132">
        <f>'Rev Ex Tac'!B11</f>
        <v>-61244</v>
      </c>
      <c r="C13" s="132">
        <f>'Rev Ex Tac'!C11</f>
        <v>-66853</v>
      </c>
      <c r="D13" s="132">
        <f>'Rev Ex Tac'!D11</f>
        <v>-75684</v>
      </c>
      <c r="E13" s="132">
        <f>'Rev Ex Tac'!E11</f>
        <v>-104646</v>
      </c>
      <c r="F13" s="132"/>
      <c r="G13" s="132">
        <f>'Rev Ex Tac'!G11</f>
        <v>-90929</v>
      </c>
      <c r="H13" s="132">
        <f>'Rev Ex Tac'!H11</f>
        <v>-96560</v>
      </c>
      <c r="I13" s="132">
        <f>'Rev Ex Tac'!I11</f>
        <v>-97239</v>
      </c>
      <c r="J13" s="132">
        <f>'Rev Ex Tac'!J11</f>
        <v>-167046</v>
      </c>
      <c r="K13" s="132"/>
      <c r="L13" s="132">
        <f>'Rev Ex Tac'!L11</f>
        <v>-128867</v>
      </c>
      <c r="M13" s="132">
        <f>'Rev Ex Tac'!M11</f>
        <v>-145289</v>
      </c>
      <c r="N13" s="132">
        <f>'Rev Ex Tac'!N11</f>
        <v>-141869</v>
      </c>
      <c r="O13" s="132">
        <f>'Rev Ex Tac'!O11</f>
        <v>-203368</v>
      </c>
      <c r="P13" s="132"/>
      <c r="Q13" s="132">
        <f>'Rev Ex Tac'!Q11</f>
        <v>-131521</v>
      </c>
      <c r="R13" s="132">
        <f>'Rev Ex Tac'!R11</f>
        <v>-125502</v>
      </c>
      <c r="S13" s="132">
        <f>'Rev Ex Tac'!S11</f>
        <v>-126406</v>
      </c>
      <c r="T13" s="132">
        <f>'Rev Ex Tac'!T11</f>
        <v>-196168</v>
      </c>
      <c r="U13" s="132"/>
      <c r="V13" s="132">
        <f>'Rev Ex Tac'!V11</f>
        <v>-131545</v>
      </c>
      <c r="W13" s="132">
        <f>'Rev Ex Tac'!W11</f>
        <v>-129491</v>
      </c>
    </row>
    <row r="14" spans="1:23" ht="15" customHeight="1" x14ac:dyDescent="0.35">
      <c r="A14" s="52" t="s">
        <v>88</v>
      </c>
      <c r="B14" s="132">
        <f>'Rev Ex Tac'!B12</f>
        <v>-78158</v>
      </c>
      <c r="C14" s="132">
        <f>'Rev Ex Tac'!C12</f>
        <v>-73155</v>
      </c>
      <c r="D14" s="132">
        <f>'Rev Ex Tac'!D12</f>
        <v>-79710</v>
      </c>
      <c r="E14" s="132">
        <f>'Rev Ex Tac'!E12</f>
        <v>-82905</v>
      </c>
      <c r="F14" s="132"/>
      <c r="G14" s="132">
        <f>'Rev Ex Tac'!G12</f>
        <v>-91185</v>
      </c>
      <c r="H14" s="132">
        <f>'Rev Ex Tac'!H12</f>
        <v>-86820</v>
      </c>
      <c r="I14" s="132">
        <f>'Rev Ex Tac'!I12</f>
        <v>-87092</v>
      </c>
      <c r="J14" s="132">
        <f>'Rev Ex Tac'!J12</f>
        <v>-108567</v>
      </c>
      <c r="K14" s="132"/>
      <c r="L14" s="132">
        <f>'Rev Ex Tac'!L12</f>
        <v>-107583</v>
      </c>
      <c r="M14" s="132">
        <f>'Rev Ex Tac'!M12</f>
        <v>-106605</v>
      </c>
      <c r="N14" s="132">
        <f>'Rev Ex Tac'!N12</f>
        <v>-115446</v>
      </c>
      <c r="O14" s="132">
        <f>'Rev Ex Tac'!O12</f>
        <v>-120662</v>
      </c>
      <c r="P14" s="132"/>
      <c r="Q14" s="132">
        <f>'Rev Ex Tac'!Q12</f>
        <v>-119893</v>
      </c>
      <c r="R14" s="132">
        <f>'Rev Ex Tac'!R12</f>
        <v>-112577</v>
      </c>
      <c r="S14" s="132">
        <f>'Rev Ex Tac'!S12</f>
        <v>-111131</v>
      </c>
      <c r="T14" s="132">
        <f>'Rev Ex Tac'!T12</f>
        <v>-128053</v>
      </c>
      <c r="U14" s="132"/>
      <c r="V14" s="132">
        <f>'Rev Ex Tac'!V12</f>
        <v>-117291</v>
      </c>
      <c r="W14" s="132">
        <f>'Rev Ex Tac'!W12</f>
        <v>-107401</v>
      </c>
    </row>
    <row r="15" spans="1:23" ht="15" customHeight="1" x14ac:dyDescent="0.35">
      <c r="A15" s="52" t="s">
        <v>138</v>
      </c>
      <c r="B15" s="132">
        <f>'Rev Ex Tac'!B13</f>
        <v>-36486</v>
      </c>
      <c r="C15" s="132">
        <f>'Rev Ex Tac'!C13</f>
        <v>-37231</v>
      </c>
      <c r="D15" s="132">
        <f>'Rev Ex Tac'!D13</f>
        <v>-43576</v>
      </c>
      <c r="E15" s="132">
        <f>'Rev Ex Tac'!E13</f>
        <v>-49505</v>
      </c>
      <c r="F15" s="132"/>
      <c r="G15" s="132">
        <f>'Rev Ex Tac'!G13</f>
        <v>-56641</v>
      </c>
      <c r="H15" s="132">
        <f>'Rev Ex Tac'!H13</f>
        <v>-57589</v>
      </c>
      <c r="I15" s="132">
        <f>'Rev Ex Tac'!I13</f>
        <v>-62979</v>
      </c>
      <c r="J15" s="132">
        <f>'Rev Ex Tac'!J13</f>
        <v>-66264</v>
      </c>
      <c r="K15" s="132"/>
      <c r="L15" s="132">
        <f>'Rev Ex Tac'!L13</f>
        <v>-70243</v>
      </c>
      <c r="M15" s="132">
        <f>'Rev Ex Tac'!M13</f>
        <v>-70306</v>
      </c>
      <c r="N15" s="132">
        <f>'Rev Ex Tac'!N13</f>
        <v>-72261</v>
      </c>
      <c r="O15" s="132">
        <f>'Rev Ex Tac'!O13</f>
        <v>-73057</v>
      </c>
      <c r="P15" s="132"/>
      <c r="Q15" s="132">
        <f>'Rev Ex Tac'!Q13</f>
        <v>-72332</v>
      </c>
      <c r="R15" s="132">
        <f>'Rev Ex Tac'!R13</f>
        <v>-68884</v>
      </c>
      <c r="S15" s="132">
        <f>'Rev Ex Tac'!S13</f>
        <v>-67850</v>
      </c>
      <c r="T15" s="132">
        <f>'Rev Ex Tac'!T13</f>
        <v>-74017</v>
      </c>
      <c r="U15" s="132"/>
      <c r="V15" s="132">
        <f>'Rev Ex Tac'!V13</f>
        <v>-73593</v>
      </c>
      <c r="W15" s="132">
        <f>'Rev Ex Tac'!W13</f>
        <v>-67337</v>
      </c>
    </row>
    <row r="16" spans="1:23" ht="15" customHeight="1" x14ac:dyDescent="0.35">
      <c r="A16" s="51"/>
      <c r="B16" s="133"/>
      <c r="C16" s="133"/>
      <c r="D16" s="133"/>
      <c r="E16" s="133"/>
      <c r="F16" s="133"/>
      <c r="G16" s="133"/>
      <c r="H16" s="133"/>
      <c r="I16" s="133"/>
      <c r="J16" s="133"/>
      <c r="K16" s="133"/>
      <c r="L16" s="133"/>
      <c r="M16" s="133"/>
      <c r="N16" s="133"/>
      <c r="O16" s="133"/>
      <c r="P16" s="133"/>
      <c r="Q16" s="133"/>
      <c r="R16" s="133"/>
      <c r="S16" s="133"/>
      <c r="T16" s="133"/>
      <c r="U16" s="133"/>
      <c r="V16" s="133"/>
      <c r="W16" s="133"/>
    </row>
    <row r="17" spans="1:23" ht="15" customHeight="1" x14ac:dyDescent="0.4">
      <c r="A17" s="50" t="s">
        <v>140</v>
      </c>
      <c r="B17" s="131">
        <f t="shared" ref="B17:E17" si="6">SUM(B18:B20)</f>
        <v>118284</v>
      </c>
      <c r="C17" s="131">
        <f t="shared" si="6"/>
        <v>122067</v>
      </c>
      <c r="D17" s="131">
        <f t="shared" si="6"/>
        <v>133704</v>
      </c>
      <c r="E17" s="131">
        <f t="shared" si="6"/>
        <v>159962</v>
      </c>
      <c r="F17" s="131"/>
      <c r="G17" s="131">
        <f t="shared" ref="G17:J17" si="7">SUM(G18:G20)</f>
        <v>162498</v>
      </c>
      <c r="H17" s="131">
        <f t="shared" si="7"/>
        <v>166232</v>
      </c>
      <c r="I17" s="131">
        <f t="shared" si="7"/>
        <v>176557</v>
      </c>
      <c r="J17" s="131">
        <f t="shared" si="7"/>
        <v>224948</v>
      </c>
      <c r="K17" s="131"/>
      <c r="L17" s="131">
        <f t="shared" ref="L17:O17" si="8">SUM(L18:L20)</f>
        <v>209974</v>
      </c>
      <c r="M17" s="131">
        <f t="shared" si="8"/>
        <v>219822</v>
      </c>
      <c r="N17" s="131">
        <f t="shared" si="8"/>
        <v>234397</v>
      </c>
      <c r="O17" s="131">
        <f t="shared" si="8"/>
        <v>276944</v>
      </c>
      <c r="P17" s="131"/>
      <c r="Q17" s="131">
        <f>SUM(Q18:Q20)</f>
        <v>240418</v>
      </c>
      <c r="R17" s="131">
        <f>SUM(R18:R20)</f>
        <v>230222</v>
      </c>
      <c r="S17" s="131">
        <f>SUM(S18:S20)</f>
        <v>223482</v>
      </c>
      <c r="T17" s="131">
        <f>SUM(T18:T20)</f>
        <v>271858</v>
      </c>
      <c r="U17" s="131"/>
      <c r="V17" s="131">
        <f>SUM(V18:V20)</f>
        <v>235694</v>
      </c>
      <c r="W17" s="131">
        <f>SUM(W18:W20)</f>
        <v>223918</v>
      </c>
    </row>
    <row r="18" spans="1:23" ht="15" customHeight="1" x14ac:dyDescent="0.35">
      <c r="A18" s="52" t="s">
        <v>87</v>
      </c>
      <c r="B18" s="132">
        <f t="shared" ref="B18:E18" si="9">B8+B13</f>
        <v>39380</v>
      </c>
      <c r="C18" s="132">
        <f t="shared" si="9"/>
        <v>44019</v>
      </c>
      <c r="D18" s="132">
        <f t="shared" si="9"/>
        <v>48340</v>
      </c>
      <c r="E18" s="132">
        <f t="shared" si="9"/>
        <v>65487</v>
      </c>
      <c r="F18" s="132"/>
      <c r="G18" s="132">
        <f t="shared" ref="G18:I18" si="10">G8+G13</f>
        <v>56245</v>
      </c>
      <c r="H18" s="132">
        <f t="shared" si="10"/>
        <v>59962</v>
      </c>
      <c r="I18" s="132">
        <f t="shared" si="10"/>
        <v>63500</v>
      </c>
      <c r="J18" s="132">
        <f>J8+J13-1</f>
        <v>99391</v>
      </c>
      <c r="K18" s="132"/>
      <c r="L18" s="132">
        <f t="shared" ref="L18:O18" si="11">L8+L13</f>
        <v>79146</v>
      </c>
      <c r="M18" s="132">
        <f t="shared" si="11"/>
        <v>84103</v>
      </c>
      <c r="N18" s="132">
        <f t="shared" si="11"/>
        <v>86457</v>
      </c>
      <c r="O18" s="132">
        <f t="shared" si="11"/>
        <v>121328</v>
      </c>
      <c r="P18" s="132"/>
      <c r="Q18" s="132">
        <f t="shared" ref="Q18:R20" si="12">Q8+Q13</f>
        <v>81174</v>
      </c>
      <c r="R18" s="132">
        <f t="shared" si="12"/>
        <v>87279</v>
      </c>
      <c r="S18" s="132">
        <f t="shared" ref="S18:T18" si="13">S8+S13</f>
        <v>84841</v>
      </c>
      <c r="T18" s="132">
        <f t="shared" si="13"/>
        <v>121182</v>
      </c>
      <c r="U18" s="132"/>
      <c r="V18" s="132">
        <f t="shared" ref="V18:W18" si="14">V8+V13</f>
        <v>86448</v>
      </c>
      <c r="W18" s="132">
        <f t="shared" si="14"/>
        <v>84483</v>
      </c>
    </row>
    <row r="19" spans="1:23" ht="15" customHeight="1" x14ac:dyDescent="0.35">
      <c r="A19" s="52" t="s">
        <v>88</v>
      </c>
      <c r="B19" s="132">
        <f t="shared" ref="B19:E19" si="15">B9+B14</f>
        <v>54050</v>
      </c>
      <c r="C19" s="132">
        <f t="shared" si="15"/>
        <v>53652</v>
      </c>
      <c r="D19" s="132">
        <f t="shared" si="15"/>
        <v>57475</v>
      </c>
      <c r="E19" s="132">
        <f t="shared" si="15"/>
        <v>62000</v>
      </c>
      <c r="F19" s="132"/>
      <c r="G19" s="132">
        <f t="shared" ref="G19:J19" si="16">G9+G14</f>
        <v>68220</v>
      </c>
      <c r="H19" s="132">
        <f t="shared" si="16"/>
        <v>67079</v>
      </c>
      <c r="I19" s="132">
        <f t="shared" si="16"/>
        <v>70829</v>
      </c>
      <c r="J19" s="132">
        <f t="shared" si="16"/>
        <v>80731</v>
      </c>
      <c r="K19" s="132"/>
      <c r="L19" s="132">
        <f t="shared" ref="L19:O19" si="17">L9+L14</f>
        <v>81509</v>
      </c>
      <c r="M19" s="132">
        <f t="shared" si="17"/>
        <v>85077</v>
      </c>
      <c r="N19" s="132">
        <f t="shared" si="17"/>
        <v>91722</v>
      </c>
      <c r="O19" s="132">
        <f t="shared" si="17"/>
        <v>100357</v>
      </c>
      <c r="P19" s="132"/>
      <c r="Q19" s="132">
        <f t="shared" si="12"/>
        <v>102718</v>
      </c>
      <c r="R19" s="132">
        <f t="shared" si="12"/>
        <v>88503</v>
      </c>
      <c r="S19" s="132">
        <f t="shared" ref="S19:T19" si="18">S9+S14</f>
        <v>84099</v>
      </c>
      <c r="T19" s="132">
        <f t="shared" si="18"/>
        <v>92851</v>
      </c>
      <c r="U19" s="132"/>
      <c r="V19" s="132">
        <f t="shared" ref="V19:W19" si="19">V9+V14</f>
        <v>92352</v>
      </c>
      <c r="W19" s="132">
        <f t="shared" si="19"/>
        <v>86958</v>
      </c>
    </row>
    <row r="20" spans="1:23" ht="15" customHeight="1" x14ac:dyDescent="0.35">
      <c r="A20" s="52" t="s">
        <v>138</v>
      </c>
      <c r="B20" s="132">
        <f t="shared" ref="B20:E20" si="20">B10+B15</f>
        <v>24854</v>
      </c>
      <c r="C20" s="132">
        <f t="shared" si="20"/>
        <v>24396</v>
      </c>
      <c r="D20" s="132">
        <f t="shared" si="20"/>
        <v>27889</v>
      </c>
      <c r="E20" s="132">
        <f t="shared" si="20"/>
        <v>32475</v>
      </c>
      <c r="F20" s="132"/>
      <c r="G20" s="132">
        <f t="shared" ref="G20:I20" si="21">G10+G15</f>
        <v>38033</v>
      </c>
      <c r="H20" s="132">
        <f t="shared" si="21"/>
        <v>39191</v>
      </c>
      <c r="I20" s="132">
        <f t="shared" si="21"/>
        <v>42228</v>
      </c>
      <c r="J20" s="132">
        <f>J10+J15+1</f>
        <v>44826</v>
      </c>
      <c r="K20" s="132"/>
      <c r="L20" s="132">
        <f t="shared" ref="L20:O20" si="22">L10+L15</f>
        <v>49319</v>
      </c>
      <c r="M20" s="132">
        <f t="shared" si="22"/>
        <v>50642</v>
      </c>
      <c r="N20" s="132">
        <f t="shared" si="22"/>
        <v>56218</v>
      </c>
      <c r="O20" s="132">
        <f t="shared" si="22"/>
        <v>55259</v>
      </c>
      <c r="P20" s="132"/>
      <c r="Q20" s="132">
        <f t="shared" si="12"/>
        <v>56526</v>
      </c>
      <c r="R20" s="132">
        <f t="shared" si="12"/>
        <v>54440</v>
      </c>
      <c r="S20" s="132">
        <f t="shared" ref="S20:T20" si="23">S10+S15</f>
        <v>54542</v>
      </c>
      <c r="T20" s="132">
        <f t="shared" si="23"/>
        <v>57825</v>
      </c>
      <c r="U20" s="132"/>
      <c r="V20" s="132">
        <f t="shared" ref="V20:W20" si="24">V10+V15</f>
        <v>56894</v>
      </c>
      <c r="W20" s="132">
        <f t="shared" si="24"/>
        <v>52477</v>
      </c>
    </row>
    <row r="21" spans="1:23" ht="15" customHeight="1" x14ac:dyDescent="0.35">
      <c r="A21" s="51"/>
      <c r="B21" s="133"/>
      <c r="C21" s="133"/>
      <c r="D21" s="133"/>
      <c r="E21" s="133"/>
      <c r="F21" s="133"/>
      <c r="G21" s="133"/>
      <c r="H21" s="133"/>
      <c r="I21" s="133"/>
      <c r="J21" s="133"/>
      <c r="K21" s="133"/>
      <c r="L21" s="133"/>
      <c r="M21" s="133"/>
      <c r="N21" s="133"/>
      <c r="O21" s="133"/>
      <c r="P21" s="133"/>
      <c r="Q21" s="133"/>
      <c r="R21" s="133"/>
      <c r="S21" s="133"/>
      <c r="T21" s="133"/>
      <c r="U21" s="133"/>
      <c r="V21" s="133"/>
      <c r="W21" s="133"/>
    </row>
    <row r="22" spans="1:23" ht="15" customHeight="1" x14ac:dyDescent="0.4">
      <c r="A22" s="50" t="s">
        <v>186</v>
      </c>
      <c r="B22" s="131">
        <f>'Reconciliation Adj EBITDA'!B32</f>
        <v>31806</v>
      </c>
      <c r="C22" s="131">
        <f>'Reconciliation Adj EBITDA'!C32</f>
        <v>23668</v>
      </c>
      <c r="D22" s="131">
        <f>'Reconciliation Adj EBITDA'!D32</f>
        <v>34487</v>
      </c>
      <c r="E22" s="131">
        <f>'Reconciliation Adj EBITDA'!E32</f>
        <v>53477</v>
      </c>
      <c r="F22" s="133"/>
      <c r="G22" s="131">
        <f>'Reconciliation Adj EBITDA'!G32</f>
        <v>48843</v>
      </c>
      <c r="H22" s="131">
        <f>'Reconciliation Adj EBITDA'!H32</f>
        <v>39201</v>
      </c>
      <c r="I22" s="131">
        <f>'Reconciliation Adj EBITDA'!I32</f>
        <v>53532</v>
      </c>
      <c r="J22" s="131">
        <f>'Reconciliation Adj EBITDA'!J32</f>
        <v>82995</v>
      </c>
      <c r="K22" s="131"/>
      <c r="L22" s="131">
        <f>'Reconciliation Adj EBITDA'!L32</f>
        <v>56454</v>
      </c>
      <c r="M22" s="131">
        <f>'Reconciliation Adj EBITDA'!M32</f>
        <v>54086</v>
      </c>
      <c r="N22" s="131">
        <f>'Reconciliation Adj EBITDA'!N32</f>
        <v>79116</v>
      </c>
      <c r="O22" s="131">
        <f>'Reconciliation Adj EBITDA'!O32</f>
        <v>119928</v>
      </c>
      <c r="P22" s="131"/>
      <c r="Q22" s="131">
        <f>'Reconciliation Adj EBITDA'!Q32</f>
        <v>77932</v>
      </c>
      <c r="R22" s="131">
        <f>'Reconciliation Adj EBITDA'!R32</f>
        <v>68774</v>
      </c>
      <c r="S22" s="131">
        <f>'Reconciliation Adj EBITDA'!S32</f>
        <v>69591</v>
      </c>
      <c r="T22" s="131">
        <f>'Reconciliation Adj EBITDA'!T32</f>
        <v>104762</v>
      </c>
      <c r="U22" s="131"/>
      <c r="V22" s="131">
        <f>'Reconciliation Adj EBITDA'!V32</f>
        <v>68855</v>
      </c>
      <c r="W22" s="131">
        <f>'Reconciliation Adj EBITDA'!W32</f>
        <v>56399</v>
      </c>
    </row>
    <row r="23" spans="1:23" ht="15" customHeight="1" x14ac:dyDescent="0.35">
      <c r="A23" s="51"/>
      <c r="B23" s="133"/>
      <c r="C23" s="133"/>
      <c r="D23" s="133"/>
      <c r="E23" s="133"/>
      <c r="F23" s="133"/>
      <c r="G23" s="133"/>
      <c r="H23" s="133"/>
      <c r="I23" s="133"/>
      <c r="J23" s="133"/>
      <c r="K23" s="133"/>
      <c r="L23" s="133"/>
      <c r="M23" s="133"/>
      <c r="N23" s="133"/>
      <c r="O23" s="133"/>
      <c r="P23" s="133"/>
      <c r="Q23" s="133"/>
      <c r="R23" s="133"/>
      <c r="S23" s="133"/>
      <c r="T23" s="133"/>
      <c r="U23" s="133"/>
      <c r="V23" s="133"/>
      <c r="W23" s="133"/>
    </row>
    <row r="24" spans="1:23" ht="14" customHeight="1" x14ac:dyDescent="0.35">
      <c r="A24" s="53" t="s">
        <v>141</v>
      </c>
      <c r="B24" s="134">
        <f>Cashflows!B21</f>
        <v>41007</v>
      </c>
      <c r="C24" s="134">
        <f>Cashflows!C21</f>
        <v>11938</v>
      </c>
      <c r="D24" s="134">
        <f>Cashflows!D21</f>
        <v>17500</v>
      </c>
      <c r="E24" s="134">
        <f>Cashflows!E21</f>
        <v>66706</v>
      </c>
      <c r="F24" s="134"/>
      <c r="G24" s="134">
        <f>Cashflows!G21</f>
        <v>18907.430706248</v>
      </c>
      <c r="H24" s="134">
        <f>Cashflows!H21</f>
        <v>19274</v>
      </c>
      <c r="I24" s="134">
        <f>Cashflows!I21</f>
        <v>43631</v>
      </c>
      <c r="J24" s="134">
        <f>Cashflows!J21</f>
        <v>71658</v>
      </c>
      <c r="K24" s="134"/>
      <c r="L24" s="134">
        <f>Cashflows!L21</f>
        <v>44238</v>
      </c>
      <c r="M24" s="134">
        <f>Cashflows!M21</f>
        <v>60491</v>
      </c>
      <c r="N24" s="134">
        <f>Cashflows!N21</f>
        <v>61727</v>
      </c>
      <c r="O24" s="134">
        <f>Cashflows!O21</f>
        <v>79002</v>
      </c>
      <c r="P24" s="134"/>
      <c r="Q24" s="134">
        <f>Cashflows!Q21</f>
        <v>84527</v>
      </c>
      <c r="R24" s="134">
        <f>Cashflows!R21</f>
        <v>40341</v>
      </c>
      <c r="S24" s="134">
        <f>Cashflows!S21</f>
        <v>50256</v>
      </c>
      <c r="T24" s="134">
        <f>Cashflows!T21</f>
        <v>85600</v>
      </c>
      <c r="U24" s="134"/>
      <c r="V24" s="134">
        <f>Cashflows!V21</f>
        <v>67220</v>
      </c>
      <c r="W24" s="134">
        <f>Cashflows!W21</f>
        <v>52964</v>
      </c>
    </row>
    <row r="25" spans="1:23" ht="20" customHeight="1" x14ac:dyDescent="0.35">
      <c r="A25" s="51"/>
      <c r="B25" s="130"/>
      <c r="C25" s="130"/>
      <c r="D25" s="130"/>
      <c r="E25" s="130"/>
      <c r="F25" s="130"/>
      <c r="G25" s="135"/>
      <c r="H25" s="135"/>
      <c r="I25" s="135"/>
      <c r="J25" s="135"/>
      <c r="K25" s="135"/>
      <c r="L25" s="135"/>
      <c r="M25" s="135"/>
      <c r="N25" s="135"/>
      <c r="O25" s="135"/>
      <c r="P25" s="135"/>
      <c r="Q25" s="135"/>
      <c r="R25" s="135"/>
      <c r="S25" s="135"/>
      <c r="T25" s="135"/>
      <c r="U25" s="135"/>
      <c r="V25" s="135"/>
      <c r="W25" s="135"/>
    </row>
    <row r="26" spans="1:23" ht="15" customHeight="1" x14ac:dyDescent="0.35">
      <c r="A26" s="53" t="s">
        <v>142</v>
      </c>
      <c r="B26" s="134">
        <f>-(Cashflows!B22+Cashflows!B23)</f>
        <v>12862</v>
      </c>
      <c r="C26" s="134">
        <f>-(Cashflows!C22+Cashflows!C23)</f>
        <v>18348</v>
      </c>
      <c r="D26" s="134">
        <f>-(Cashflows!D22+Cashflows!D23)</f>
        <v>24065</v>
      </c>
      <c r="E26" s="134">
        <f>-(Cashflows!E22+Cashflows!E23)</f>
        <v>19205</v>
      </c>
      <c r="F26" s="134"/>
      <c r="G26" s="134">
        <f>-(Cashflows!G22+Cashflows!G23)+1</f>
        <v>12109</v>
      </c>
      <c r="H26" s="134">
        <f>-(Cashflows!H22+Cashflows!H23)</f>
        <v>22386</v>
      </c>
      <c r="I26" s="134">
        <f>-(Cashflows!I22+Cashflows!I23)</f>
        <v>19907</v>
      </c>
      <c r="J26" s="134">
        <f>-(Cashflows!J22+Cashflows!J23)</f>
        <v>22981</v>
      </c>
      <c r="K26" s="134"/>
      <c r="L26" s="134">
        <f>-(Cashflows!L22+Cashflows!L23)</f>
        <v>28206</v>
      </c>
      <c r="M26" s="134">
        <f>-(Cashflows!M22+Cashflows!M23)</f>
        <v>27055</v>
      </c>
      <c r="N26" s="134">
        <f>-(Cashflows!N22+Cashflows!N23)</f>
        <v>27773</v>
      </c>
      <c r="O26" s="134">
        <f>-(Cashflows!O22+Cashflows!O23)</f>
        <v>25476</v>
      </c>
      <c r="P26" s="134"/>
      <c r="Q26" s="134">
        <f>-(Cashflows!Q22+Cashflows!Q23)</f>
        <v>32567</v>
      </c>
      <c r="R26" s="134">
        <f>-(Cashflows!R22+Cashflows!R23)</f>
        <v>17847</v>
      </c>
      <c r="S26" s="134">
        <f>-(Cashflows!S22+Cashflows!S23)</f>
        <v>29656</v>
      </c>
      <c r="T26" s="134">
        <f>-(Cashflows!T22+Cashflows!T23)</f>
        <v>45408</v>
      </c>
      <c r="U26" s="134"/>
      <c r="V26" s="134">
        <f>-(Cashflows!V22+Cashflows!V23)</f>
        <v>23684</v>
      </c>
      <c r="W26" s="134">
        <f>-(Cashflows!W22+Cashflows!W23)</f>
        <v>32792</v>
      </c>
    </row>
    <row r="27" spans="1:23" ht="15" customHeight="1" x14ac:dyDescent="0.35">
      <c r="A27" s="51"/>
      <c r="B27" s="130"/>
      <c r="C27" s="130"/>
      <c r="D27" s="130"/>
      <c r="E27" s="130"/>
      <c r="F27" s="130"/>
      <c r="G27" s="135"/>
      <c r="H27" s="135"/>
      <c r="I27" s="135"/>
      <c r="J27" s="135"/>
      <c r="K27" s="135"/>
      <c r="L27" s="135"/>
      <c r="M27" s="135"/>
      <c r="N27" s="135"/>
      <c r="O27" s="135"/>
      <c r="P27" s="135"/>
      <c r="Q27" s="135"/>
      <c r="R27" s="135"/>
      <c r="S27" s="135"/>
      <c r="T27" s="135"/>
      <c r="U27" s="135"/>
      <c r="V27" s="135"/>
      <c r="W27" s="135"/>
    </row>
    <row r="28" spans="1:23" ht="15" customHeight="1" x14ac:dyDescent="0.35">
      <c r="A28" s="53" t="s">
        <v>143</v>
      </c>
      <c r="B28" s="135">
        <f>B26/B7</f>
        <v>4.3722720041336358E-2</v>
      </c>
      <c r="C28" s="135">
        <f t="shared" ref="C28:E28" si="25">C26/C7</f>
        <v>6.1301811523992167E-2</v>
      </c>
      <c r="D28" s="135">
        <f t="shared" si="25"/>
        <v>7.2338084731599098E-2</v>
      </c>
      <c r="E28" s="135">
        <f t="shared" si="25"/>
        <v>4.8373121621689698E-2</v>
      </c>
      <c r="F28" s="134"/>
      <c r="G28" s="135">
        <f t="shared" ref="G28:Q28" si="26">G26/G7</f>
        <v>3.0177967516753768E-2</v>
      </c>
      <c r="H28" s="135">
        <f t="shared" si="26"/>
        <v>5.4975307035100604E-2</v>
      </c>
      <c r="I28" s="135">
        <f t="shared" si="26"/>
        <v>4.6965203707766821E-2</v>
      </c>
      <c r="J28" s="135">
        <f t="shared" si="26"/>
        <v>4.0543377585674591E-2</v>
      </c>
      <c r="K28" s="135"/>
      <c r="L28" s="135">
        <f t="shared" si="26"/>
        <v>5.4592222843727195E-2</v>
      </c>
      <c r="M28" s="135">
        <f t="shared" si="26"/>
        <v>4.991494810173757E-2</v>
      </c>
      <c r="N28" s="135">
        <f t="shared" si="26"/>
        <v>4.9245265287522627E-2</v>
      </c>
      <c r="O28" s="135">
        <f t="shared" si="26"/>
        <v>3.779648117074734E-2</v>
      </c>
      <c r="P28" s="135"/>
      <c r="Q28" s="135">
        <f t="shared" si="26"/>
        <v>5.7726122191419517E-2</v>
      </c>
      <c r="R28" s="135">
        <f t="shared" ref="R28:S28" si="27">R26/R7</f>
        <v>3.3223191265578898E-2</v>
      </c>
      <c r="S28" s="135">
        <f t="shared" si="27"/>
        <v>5.6074377586888248E-2</v>
      </c>
      <c r="T28" s="135">
        <f t="shared" ref="T28" si="28">T26/T7</f>
        <v>6.7763424942097847E-2</v>
      </c>
      <c r="U28" s="135"/>
      <c r="V28" s="135">
        <f t="shared" ref="V28:W28" si="29">V26/V7</f>
        <v>4.2435090472888591E-2</v>
      </c>
      <c r="W28" s="135">
        <f t="shared" si="29"/>
        <v>6.2088774526788945E-2</v>
      </c>
    </row>
    <row r="29" spans="1:23" ht="15" customHeight="1" x14ac:dyDescent="0.35">
      <c r="A29" s="54"/>
      <c r="B29" s="134"/>
      <c r="C29" s="134"/>
      <c r="D29" s="134"/>
      <c r="E29" s="134"/>
      <c r="F29" s="134"/>
      <c r="G29" s="134"/>
      <c r="H29" s="134"/>
      <c r="I29" s="134"/>
      <c r="J29" s="134"/>
      <c r="K29" s="134"/>
      <c r="L29" s="134"/>
      <c r="M29" s="134"/>
      <c r="N29" s="134"/>
      <c r="O29" s="134"/>
      <c r="P29" s="134"/>
      <c r="Q29" s="134"/>
      <c r="R29" s="134"/>
      <c r="S29" s="134"/>
      <c r="T29" s="134"/>
      <c r="U29" s="134"/>
      <c r="V29" s="134"/>
      <c r="W29" s="134"/>
    </row>
    <row r="30" spans="1:23" ht="15" customHeight="1" x14ac:dyDescent="0.35">
      <c r="A30" s="53" t="s">
        <v>144</v>
      </c>
      <c r="B30" s="134">
        <f>Cashflows!B36</f>
        <v>316376</v>
      </c>
      <c r="C30" s="134">
        <f>Cashflows!C36</f>
        <v>321109</v>
      </c>
      <c r="D30" s="134">
        <f>Cashflows!D36</f>
        <v>314644</v>
      </c>
      <c r="E30" s="134">
        <f>Cashflows!E36</f>
        <v>353537</v>
      </c>
      <c r="F30" s="134"/>
      <c r="G30" s="134">
        <f>Cashflows!G36</f>
        <v>386110.54063881142</v>
      </c>
      <c r="H30" s="134">
        <f>Cashflows!H36</f>
        <v>377407.54063881142</v>
      </c>
      <c r="I30" s="134">
        <f>Cashflows!I36</f>
        <v>407158.54063881142</v>
      </c>
      <c r="J30" s="134">
        <f>Cashflows!J36</f>
        <v>270317.54063881142</v>
      </c>
      <c r="K30" s="134"/>
      <c r="L30" s="134">
        <f>Cashflows!L36</f>
        <v>303813</v>
      </c>
      <c r="M30" s="134">
        <f>Cashflows!M36</f>
        <v>308185</v>
      </c>
      <c r="N30" s="134">
        <f>Cashflows!N36</f>
        <v>357983</v>
      </c>
      <c r="O30" s="134">
        <f>Cashflows!O36</f>
        <v>414111</v>
      </c>
      <c r="P30" s="134"/>
      <c r="Q30" s="134">
        <f>Cashflows!Q36</f>
        <v>483874</v>
      </c>
      <c r="R30" s="134">
        <f>Cashflows!R36</f>
        <v>480285</v>
      </c>
      <c r="S30" s="134">
        <f>Cashflows!S36</f>
        <v>458690</v>
      </c>
      <c r="T30" s="134">
        <f>Cashflows!T36</f>
        <v>364426</v>
      </c>
      <c r="U30" s="134"/>
      <c r="V30" s="134">
        <f>Cashflows!V36</f>
        <v>395771</v>
      </c>
      <c r="W30" s="134">
        <f>Cashflows!W36</f>
        <v>422053</v>
      </c>
    </row>
    <row r="31" spans="1:23" ht="15" customHeight="1" x14ac:dyDescent="0.35">
      <c r="A31" s="51"/>
      <c r="B31" s="130"/>
      <c r="C31" s="130"/>
      <c r="D31" s="130"/>
      <c r="E31" s="130"/>
      <c r="F31" s="130"/>
      <c r="G31" s="135"/>
      <c r="H31" s="135"/>
      <c r="I31" s="135"/>
      <c r="J31" s="135"/>
      <c r="K31" s="135"/>
      <c r="L31" s="135"/>
      <c r="M31" s="135"/>
      <c r="N31" s="135"/>
      <c r="O31" s="135"/>
      <c r="P31" s="135"/>
      <c r="Q31" s="135"/>
      <c r="R31" s="135"/>
      <c r="S31" s="135"/>
      <c r="T31" s="135"/>
      <c r="U31" s="135"/>
      <c r="V31" s="135"/>
      <c r="W31" s="135"/>
    </row>
    <row r="32" spans="1:23" ht="15" customHeight="1" x14ac:dyDescent="0.35">
      <c r="A32" s="53" t="s">
        <v>145</v>
      </c>
      <c r="B32" s="136">
        <v>1517</v>
      </c>
      <c r="C32" s="136">
        <v>1638</v>
      </c>
      <c r="D32" s="136">
        <v>1749</v>
      </c>
      <c r="E32" s="136">
        <v>1841</v>
      </c>
      <c r="F32" s="136"/>
      <c r="G32" s="136">
        <v>1973</v>
      </c>
      <c r="H32" s="136">
        <v>2085</v>
      </c>
      <c r="I32" s="136">
        <v>2212</v>
      </c>
      <c r="J32" s="136">
        <v>2503</v>
      </c>
      <c r="K32" s="136"/>
      <c r="L32" s="136">
        <v>2582</v>
      </c>
      <c r="M32" s="136">
        <v>2690</v>
      </c>
      <c r="N32" s="136">
        <v>2712</v>
      </c>
      <c r="O32" s="136">
        <v>2764</v>
      </c>
      <c r="P32" s="136"/>
      <c r="Q32" s="136">
        <v>2675</v>
      </c>
      <c r="R32" s="146">
        <v>2678</v>
      </c>
      <c r="S32" s="153">
        <v>2737</v>
      </c>
      <c r="T32" s="154">
        <v>2744</v>
      </c>
      <c r="U32" s="163"/>
      <c r="V32" s="163">
        <v>2813</v>
      </c>
      <c r="W32" s="165">
        <v>2873</v>
      </c>
    </row>
    <row r="33" spans="1:23" ht="15" customHeight="1" x14ac:dyDescent="0.35">
      <c r="A33" s="51"/>
      <c r="B33" s="130"/>
      <c r="C33" s="130"/>
      <c r="D33" s="130"/>
      <c r="E33" s="130"/>
      <c r="F33" s="130"/>
      <c r="G33" s="135"/>
      <c r="H33" s="135"/>
      <c r="I33" s="135"/>
      <c r="J33" s="135"/>
      <c r="K33" s="135"/>
      <c r="L33" s="135"/>
      <c r="M33" s="135"/>
      <c r="N33" s="135"/>
      <c r="O33" s="135"/>
      <c r="P33" s="135"/>
      <c r="Q33" s="135"/>
      <c r="R33" s="135"/>
      <c r="S33" s="135"/>
      <c r="T33" s="135"/>
      <c r="U33" s="135"/>
      <c r="V33" s="135"/>
      <c r="W33" s="135"/>
    </row>
    <row r="34" spans="1:23" ht="15" customHeight="1" x14ac:dyDescent="0.35">
      <c r="A34" s="174" t="s">
        <v>210</v>
      </c>
      <c r="B34" s="176"/>
      <c r="C34" s="176"/>
      <c r="D34" s="176"/>
      <c r="E34" s="176"/>
      <c r="F34" s="136"/>
      <c r="G34" s="178">
        <v>56</v>
      </c>
      <c r="H34" s="178">
        <v>57</v>
      </c>
      <c r="I34" s="176">
        <v>56</v>
      </c>
      <c r="J34" s="176">
        <v>53</v>
      </c>
      <c r="K34" s="136"/>
      <c r="L34" s="176">
        <v>56</v>
      </c>
      <c r="M34" s="176">
        <v>57</v>
      </c>
      <c r="N34" s="176">
        <v>56</v>
      </c>
      <c r="O34" s="176">
        <v>57</v>
      </c>
      <c r="P34" s="136"/>
      <c r="Q34" s="176">
        <v>60</v>
      </c>
      <c r="R34" s="176">
        <v>61</v>
      </c>
      <c r="S34" s="176">
        <v>60</v>
      </c>
      <c r="T34" s="176">
        <v>58</v>
      </c>
      <c r="U34" s="163"/>
      <c r="V34" s="176">
        <v>59</v>
      </c>
      <c r="W34" s="176">
        <v>58</v>
      </c>
    </row>
    <row r="35" spans="1:23" ht="15" customHeight="1" x14ac:dyDescent="0.35">
      <c r="A35" s="175"/>
      <c r="B35" s="177"/>
      <c r="C35" s="177"/>
      <c r="D35" s="177"/>
      <c r="E35" s="177"/>
      <c r="F35" s="137"/>
      <c r="G35" s="177"/>
      <c r="H35" s="177"/>
      <c r="I35" s="177"/>
      <c r="J35" s="177"/>
      <c r="K35" s="137"/>
      <c r="L35" s="177"/>
      <c r="M35" s="177"/>
      <c r="N35" s="179"/>
      <c r="O35" s="178"/>
      <c r="P35" s="138"/>
      <c r="Q35" s="178"/>
      <c r="R35" s="178"/>
      <c r="S35" s="179"/>
      <c r="T35" s="178"/>
      <c r="U35" s="164"/>
      <c r="V35" s="178"/>
      <c r="W35" s="178"/>
    </row>
    <row r="36" spans="1:23" ht="15" customHeight="1" x14ac:dyDescent="0.35"/>
    <row r="37" spans="1:23" ht="15" customHeight="1" x14ac:dyDescent="0.35">
      <c r="A37" s="24" t="s">
        <v>204</v>
      </c>
      <c r="B37" s="55"/>
      <c r="C37" s="55"/>
      <c r="D37" s="55"/>
      <c r="E37" s="55"/>
      <c r="F37" s="55"/>
      <c r="G37" s="24"/>
      <c r="H37" s="24"/>
      <c r="I37" s="24"/>
      <c r="J37" s="24"/>
      <c r="K37" s="24"/>
      <c r="L37" s="24"/>
      <c r="M37" s="24"/>
      <c r="N37" s="24"/>
      <c r="O37" s="24"/>
      <c r="P37" s="24"/>
      <c r="Q37" s="24"/>
      <c r="R37" s="24"/>
      <c r="S37" s="24"/>
      <c r="T37" s="24"/>
      <c r="U37" s="24"/>
      <c r="V37" s="24"/>
      <c r="W37" s="24"/>
    </row>
    <row r="38" spans="1:23" ht="15" customHeight="1" x14ac:dyDescent="0.35"/>
    <row r="39" spans="1:23" ht="15" customHeight="1" x14ac:dyDescent="0.35">
      <c r="A39" s="24" t="s">
        <v>209</v>
      </c>
    </row>
    <row r="40" spans="1:23" ht="15" customHeight="1" x14ac:dyDescent="0.35"/>
    <row r="41" spans="1:23" ht="15" customHeight="1" x14ac:dyDescent="0.35"/>
    <row r="42" spans="1:23" ht="15" customHeight="1" x14ac:dyDescent="0.35"/>
    <row r="43" spans="1:23" ht="15" customHeight="1" x14ac:dyDescent="0.35"/>
    <row r="44" spans="1:23" ht="15" customHeight="1" x14ac:dyDescent="0.35"/>
    <row r="45" spans="1:23" ht="15" customHeight="1" x14ac:dyDescent="0.35"/>
    <row r="46" spans="1:23" ht="15" customHeight="1" x14ac:dyDescent="0.35"/>
    <row r="47" spans="1:23" ht="15" customHeight="1" x14ac:dyDescent="0.35"/>
    <row r="48" spans="1:23"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sheetData>
  <mergeCells count="19">
    <mergeCell ref="S34:S35"/>
    <mergeCell ref="R34:R35"/>
    <mergeCell ref="Q34:Q35"/>
    <mergeCell ref="W34:W35"/>
    <mergeCell ref="J34:J35"/>
    <mergeCell ref="L34:L35"/>
    <mergeCell ref="M34:M35"/>
    <mergeCell ref="N34:N35"/>
    <mergeCell ref="V34:V35"/>
    <mergeCell ref="O34:O35"/>
    <mergeCell ref="T34:T35"/>
    <mergeCell ref="A34:A35"/>
    <mergeCell ref="E34:E35"/>
    <mergeCell ref="G34:G35"/>
    <mergeCell ref="H34:H35"/>
    <mergeCell ref="I34:I35"/>
    <mergeCell ref="B34:B35"/>
    <mergeCell ref="C34:C35"/>
    <mergeCell ref="D34:D35"/>
  </mergeCell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1"/>
  <sheetViews>
    <sheetView showGridLines="0" zoomScale="70" zoomScaleNormal="70" zoomScaleSheetLayoutView="90" workbookViewId="0"/>
  </sheetViews>
  <sheetFormatPr defaultColWidth="12.640625" defaultRowHeight="12.75" x14ac:dyDescent="0.35"/>
  <cols>
    <col min="1" max="1" width="50.92578125" style="15" customWidth="1"/>
    <col min="2" max="16384" width="12.640625" style="15"/>
  </cols>
  <sheetData>
    <row r="1" spans="1:24" ht="13.15" x14ac:dyDescent="0.4">
      <c r="A1" s="14" t="s">
        <v>170</v>
      </c>
    </row>
    <row r="2" spans="1:24" x14ac:dyDescent="0.35">
      <c r="A2" s="16" t="s">
        <v>171</v>
      </c>
      <c r="F2" s="22"/>
      <c r="K2" s="22"/>
      <c r="P2" s="22"/>
      <c r="U2" s="22"/>
    </row>
    <row r="3" spans="1:24" s="2" customFormat="1" ht="15" customHeight="1" x14ac:dyDescent="0.4">
      <c r="A3" s="3"/>
      <c r="B3" s="62" t="s">
        <v>159</v>
      </c>
      <c r="C3" s="62" t="s">
        <v>162</v>
      </c>
      <c r="D3" s="62" t="s">
        <v>161</v>
      </c>
      <c r="E3" s="62" t="s">
        <v>160</v>
      </c>
      <c r="F3" s="20" t="s">
        <v>158</v>
      </c>
      <c r="G3" s="62" t="s">
        <v>157</v>
      </c>
      <c r="H3" s="62" t="s">
        <v>156</v>
      </c>
      <c r="I3" s="62" t="s">
        <v>155</v>
      </c>
      <c r="J3" s="62" t="s">
        <v>151</v>
      </c>
      <c r="K3" s="20" t="s">
        <v>150</v>
      </c>
      <c r="L3" s="62" t="s">
        <v>147</v>
      </c>
      <c r="M3" s="62" t="s">
        <v>153</v>
      </c>
      <c r="N3" s="62" t="s">
        <v>154</v>
      </c>
      <c r="O3" s="62" t="s">
        <v>152</v>
      </c>
      <c r="P3" s="20" t="s">
        <v>149</v>
      </c>
      <c r="Q3" s="62" t="s">
        <v>146</v>
      </c>
      <c r="R3" s="62" t="s">
        <v>213</v>
      </c>
      <c r="S3" s="62" t="s">
        <v>216</v>
      </c>
      <c r="T3" s="62" t="s">
        <v>220</v>
      </c>
      <c r="U3" s="20" t="s">
        <v>221</v>
      </c>
      <c r="V3" s="62" t="s">
        <v>227</v>
      </c>
      <c r="W3" s="62" t="s">
        <v>235</v>
      </c>
    </row>
    <row r="4" spans="1:24" s="2" customFormat="1" ht="15" customHeight="1" x14ac:dyDescent="0.35">
      <c r="A4" s="3"/>
      <c r="B4" s="19"/>
      <c r="C4" s="19"/>
      <c r="D4" s="19"/>
      <c r="E4" s="19"/>
      <c r="F4" s="17"/>
      <c r="G4" s="19"/>
      <c r="H4" s="19"/>
      <c r="I4" s="19"/>
      <c r="J4" s="19"/>
      <c r="K4" s="17"/>
      <c r="L4" s="19"/>
      <c r="M4" s="19"/>
      <c r="N4" s="19"/>
      <c r="O4" s="19"/>
      <c r="P4" s="17"/>
      <c r="Q4" s="19"/>
      <c r="R4" s="19"/>
      <c r="S4" s="19"/>
      <c r="T4" s="19"/>
      <c r="U4" s="17"/>
      <c r="V4" s="19"/>
      <c r="W4" s="19"/>
    </row>
    <row r="5" spans="1:24" s="2" customFormat="1" ht="15" customHeight="1" x14ac:dyDescent="0.35">
      <c r="A5" s="2" t="s">
        <v>42</v>
      </c>
      <c r="B5" s="63">
        <f>'Rev Ex Tac'!B8</f>
        <v>294172</v>
      </c>
      <c r="C5" s="63">
        <f>'Rev Ex Tac'!C8</f>
        <v>299306</v>
      </c>
      <c r="D5" s="63">
        <f>'Rev Ex Tac'!D8</f>
        <v>332674</v>
      </c>
      <c r="E5" s="63">
        <f>'Rev Ex Tac'!E8</f>
        <v>397018</v>
      </c>
      <c r="F5" s="74">
        <f>'Rev Ex Tac'!F8</f>
        <v>1323169</v>
      </c>
      <c r="G5" s="63">
        <f>'Rev Ex Tac'!G8</f>
        <v>401253</v>
      </c>
      <c r="H5" s="63">
        <f>'Rev Ex Tac'!H8</f>
        <v>407201</v>
      </c>
      <c r="I5" s="63">
        <f>'Rev Ex Tac'!I8</f>
        <v>423867</v>
      </c>
      <c r="J5" s="63">
        <f>'Rev Ex Tac'!J8</f>
        <v>566825</v>
      </c>
      <c r="K5" s="74">
        <f>'Rev Ex Tac'!K8</f>
        <v>1799146</v>
      </c>
      <c r="L5" s="63">
        <f>'Rev Ex Tac'!L8</f>
        <v>516667</v>
      </c>
      <c r="M5" s="63">
        <f>'Rev Ex Tac'!M8</f>
        <v>542022</v>
      </c>
      <c r="N5" s="63">
        <f>'Rev Ex Tac'!N8</f>
        <v>563973</v>
      </c>
      <c r="O5" s="63">
        <f>'Rev Ex Tac'!O8</f>
        <v>674031</v>
      </c>
      <c r="P5" s="74">
        <f>'Rev Ex Tac'!P8</f>
        <v>2296692</v>
      </c>
      <c r="Q5" s="63">
        <f>'Rev Ex Tac'!Q8</f>
        <v>564164</v>
      </c>
      <c r="R5" s="63">
        <f>'Rev Ex Tac'!R8</f>
        <v>537185</v>
      </c>
      <c r="S5" s="63">
        <f>'Rev Ex Tac'!S8</f>
        <v>528869</v>
      </c>
      <c r="T5" s="63">
        <f>'Rev Ex Tac'!T8</f>
        <v>670096</v>
      </c>
      <c r="U5" s="74">
        <f>'Rev Ex Tac'!U8</f>
        <v>2300314</v>
      </c>
      <c r="V5" s="63">
        <f>'Rev Ex Tac'!V8</f>
        <v>558123</v>
      </c>
      <c r="W5" s="63">
        <f>'Rev Ex Tac'!W8</f>
        <v>528147</v>
      </c>
      <c r="X5" s="145"/>
    </row>
    <row r="6" spans="1:24" s="2" customFormat="1" ht="15" customHeight="1" x14ac:dyDescent="0.35">
      <c r="A6" s="3"/>
      <c r="B6" s="64"/>
      <c r="C6" s="64"/>
      <c r="D6" s="64"/>
      <c r="E6" s="64"/>
      <c r="F6" s="75"/>
      <c r="G6" s="64"/>
      <c r="H6" s="64"/>
      <c r="I6" s="64"/>
      <c r="J6" s="64"/>
      <c r="K6" s="75"/>
      <c r="L6" s="64"/>
      <c r="M6" s="64"/>
      <c r="N6" s="64"/>
      <c r="O6" s="64"/>
      <c r="P6" s="75"/>
      <c r="Q6" s="64"/>
      <c r="R6" s="64"/>
      <c r="S6" s="64"/>
      <c r="T6" s="64"/>
      <c r="U6" s="75"/>
      <c r="V6" s="64"/>
      <c r="W6" s="64"/>
      <c r="X6" s="145"/>
    </row>
    <row r="7" spans="1:24" s="2" customFormat="1" ht="15" customHeight="1" x14ac:dyDescent="0.35">
      <c r="A7" s="2" t="s">
        <v>43</v>
      </c>
      <c r="B7" s="64"/>
      <c r="C7" s="64"/>
      <c r="D7" s="64"/>
      <c r="E7" s="64"/>
      <c r="F7" s="75"/>
      <c r="G7" s="64"/>
      <c r="H7" s="64"/>
      <c r="I7" s="64"/>
      <c r="J7" s="64"/>
      <c r="K7" s="75"/>
      <c r="L7" s="64"/>
      <c r="M7" s="64"/>
      <c r="N7" s="64"/>
      <c r="O7" s="64"/>
      <c r="P7" s="75"/>
      <c r="Q7" s="64"/>
      <c r="R7" s="64"/>
      <c r="S7" s="64"/>
      <c r="T7" s="64"/>
      <c r="U7" s="75"/>
      <c r="V7" s="64"/>
      <c r="W7" s="64"/>
      <c r="X7" s="145"/>
    </row>
    <row r="8" spans="1:24" s="2" customFormat="1" ht="15" customHeight="1" x14ac:dyDescent="0.35">
      <c r="A8" s="18" t="s">
        <v>44</v>
      </c>
      <c r="B8" s="65">
        <f>'Rev Ex Tac'!B14</f>
        <v>-175888</v>
      </c>
      <c r="C8" s="65">
        <f>'Rev Ex Tac'!C14</f>
        <v>-177239</v>
      </c>
      <c r="D8" s="65">
        <f>'Rev Ex Tac'!D14</f>
        <v>-198970</v>
      </c>
      <c r="E8" s="65">
        <f>'Rev Ex Tac'!E14</f>
        <v>-237056</v>
      </c>
      <c r="F8" s="76">
        <f>'Rev Ex Tac'!F14</f>
        <v>-789152</v>
      </c>
      <c r="G8" s="65">
        <f>'Rev Ex Tac'!G14</f>
        <v>-238755</v>
      </c>
      <c r="H8" s="65">
        <f>'Rev Ex Tac'!H14</f>
        <v>-240969</v>
      </c>
      <c r="I8" s="65">
        <f>'Rev Ex Tac'!I14</f>
        <v>-247310</v>
      </c>
      <c r="J8" s="65">
        <f>'Rev Ex Tac'!J14</f>
        <v>-341877</v>
      </c>
      <c r="K8" s="76">
        <f>'Rev Ex Tac'!K14</f>
        <v>-1068911</v>
      </c>
      <c r="L8" s="65">
        <f>'Rev Ex Tac'!L14</f>
        <v>-306693</v>
      </c>
      <c r="M8" s="65">
        <f>'Rev Ex Tac'!M14</f>
        <v>-322200</v>
      </c>
      <c r="N8" s="65">
        <f>'Rev Ex Tac'!N14</f>
        <v>-329576</v>
      </c>
      <c r="O8" s="65">
        <f>'Rev Ex Tac'!O14</f>
        <v>-397087</v>
      </c>
      <c r="P8" s="76">
        <f>'Rev Ex Tac'!P14</f>
        <v>-1355556</v>
      </c>
      <c r="Q8" s="65">
        <f>'Rev Ex Tac'!Q14</f>
        <v>-323746</v>
      </c>
      <c r="R8" s="65">
        <f>'Rev Ex Tac'!R14</f>
        <v>-306963</v>
      </c>
      <c r="S8" s="65">
        <f>'Rev Ex Tac'!S14</f>
        <v>-305387</v>
      </c>
      <c r="T8" s="65">
        <f>'Rev Ex Tac'!T14</f>
        <v>-398238</v>
      </c>
      <c r="U8" s="76">
        <f>'Rev Ex Tac'!U14</f>
        <v>-1334334</v>
      </c>
      <c r="V8" s="65">
        <f>'Rev Ex Tac'!V14</f>
        <v>-322429</v>
      </c>
      <c r="W8" s="65">
        <f>'Rev Ex Tac'!W14</f>
        <v>-304229</v>
      </c>
      <c r="X8" s="145"/>
    </row>
    <row r="9" spans="1:24" s="2" customFormat="1" ht="15" customHeight="1" x14ac:dyDescent="0.35">
      <c r="A9" s="18" t="s">
        <v>45</v>
      </c>
      <c r="B9" s="66">
        <v>-12969</v>
      </c>
      <c r="C9" s="66">
        <v>-14243</v>
      </c>
      <c r="D9" s="66">
        <v>-17206</v>
      </c>
      <c r="E9" s="66">
        <v>-17782</v>
      </c>
      <c r="F9" s="77">
        <v>-62201</v>
      </c>
      <c r="G9" s="66">
        <v>-18338</v>
      </c>
      <c r="H9" s="66">
        <v>-20279</v>
      </c>
      <c r="I9" s="66">
        <v>-22332</v>
      </c>
      <c r="J9" s="66">
        <v>-24309</v>
      </c>
      <c r="K9" s="77">
        <v>-85260</v>
      </c>
      <c r="L9" s="66">
        <v>-27155</v>
      </c>
      <c r="M9" s="66">
        <v>-32808</v>
      </c>
      <c r="N9" s="66">
        <v>-29951</v>
      </c>
      <c r="O9" s="66">
        <v>-31727</v>
      </c>
      <c r="P9" s="77">
        <v>-121641</v>
      </c>
      <c r="Q9" s="66">
        <v>-30059</v>
      </c>
      <c r="R9" s="66">
        <v>-29957</v>
      </c>
      <c r="S9" s="66">
        <v>-32921</v>
      </c>
      <c r="T9" s="66">
        <v>-38807</v>
      </c>
      <c r="U9" s="77">
        <v>-131744</v>
      </c>
      <c r="V9" s="66">
        <v>-26045</v>
      </c>
      <c r="W9" s="66">
        <v>-29059</v>
      </c>
      <c r="X9" s="145"/>
    </row>
    <row r="10" spans="1:24" s="2" customFormat="1" ht="15" customHeight="1" x14ac:dyDescent="0.35">
      <c r="A10" s="3"/>
      <c r="B10" s="61"/>
      <c r="C10" s="61"/>
      <c r="D10" s="61"/>
      <c r="E10" s="61"/>
      <c r="F10" s="78"/>
      <c r="G10" s="61"/>
      <c r="H10" s="61"/>
      <c r="I10" s="61"/>
      <c r="J10" s="61"/>
      <c r="K10" s="78"/>
      <c r="L10" s="61"/>
      <c r="M10" s="61"/>
      <c r="N10" s="61"/>
      <c r="O10" s="61"/>
      <c r="P10" s="78"/>
      <c r="Q10" s="61"/>
      <c r="R10" s="61"/>
      <c r="S10" s="61"/>
      <c r="T10" s="61"/>
      <c r="U10" s="78"/>
      <c r="V10" s="61"/>
      <c r="W10" s="61"/>
      <c r="X10" s="145"/>
    </row>
    <row r="11" spans="1:24" s="2" customFormat="1" ht="15" customHeight="1" thickBot="1" x14ac:dyDescent="0.4">
      <c r="A11" s="2" t="s">
        <v>46</v>
      </c>
      <c r="B11" s="67">
        <f t="shared" ref="B11:G11" si="0">SUM(B5, B8:B9)</f>
        <v>105315</v>
      </c>
      <c r="C11" s="67">
        <f t="shared" si="0"/>
        <v>107824</v>
      </c>
      <c r="D11" s="67">
        <f t="shared" si="0"/>
        <v>116498</v>
      </c>
      <c r="E11" s="67">
        <f t="shared" si="0"/>
        <v>142180</v>
      </c>
      <c r="F11" s="79">
        <f t="shared" si="0"/>
        <v>471816</v>
      </c>
      <c r="G11" s="67">
        <f t="shared" si="0"/>
        <v>144160</v>
      </c>
      <c r="H11" s="67">
        <f>SUM(H5,H8:H9)</f>
        <v>145953</v>
      </c>
      <c r="I11" s="67">
        <v>154225</v>
      </c>
      <c r="J11" s="67">
        <f t="shared" ref="J11:K11" si="1">SUM(J5,J8:J9)</f>
        <v>200639</v>
      </c>
      <c r="K11" s="79">
        <f t="shared" si="1"/>
        <v>644975</v>
      </c>
      <c r="L11" s="67">
        <f>SUM(L5,L8:L9)</f>
        <v>182819</v>
      </c>
      <c r="M11" s="67">
        <f>SUM(M5,M8:M9)</f>
        <v>187014</v>
      </c>
      <c r="N11" s="67">
        <v>204446</v>
      </c>
      <c r="O11" s="67">
        <f t="shared" ref="O11:P11" si="2">SUM(O5,O8:O9)</f>
        <v>245217</v>
      </c>
      <c r="P11" s="79">
        <f t="shared" si="2"/>
        <v>819495</v>
      </c>
      <c r="Q11" s="67">
        <f>SUM(Q5,Q8:Q9)</f>
        <v>210359</v>
      </c>
      <c r="R11" s="67">
        <f>SUM(R5,R8:R9)</f>
        <v>200265</v>
      </c>
      <c r="S11" s="67">
        <f>SUM(S5,S8:S9)</f>
        <v>190561</v>
      </c>
      <c r="T11" s="67">
        <f t="shared" ref="T11:U11" si="3">SUM(T5,T8:T9)</f>
        <v>233051</v>
      </c>
      <c r="U11" s="79">
        <f t="shared" si="3"/>
        <v>834236</v>
      </c>
      <c r="V11" s="67">
        <f>SUM(V5,V8:V9)</f>
        <v>209649</v>
      </c>
      <c r="W11" s="67">
        <f>SUM(W5,W8:W9)</f>
        <v>194859</v>
      </c>
      <c r="X11" s="145"/>
    </row>
    <row r="12" spans="1:24" s="2" customFormat="1" ht="15" customHeight="1" thickTop="1" x14ac:dyDescent="0.35">
      <c r="A12" s="3"/>
      <c r="B12" s="61"/>
      <c r="C12" s="61"/>
      <c r="D12" s="61"/>
      <c r="E12" s="61"/>
      <c r="F12" s="78"/>
      <c r="G12" s="61"/>
      <c r="H12" s="61"/>
      <c r="I12" s="61"/>
      <c r="J12" s="61"/>
      <c r="K12" s="78"/>
      <c r="L12" s="61"/>
      <c r="M12" s="61"/>
      <c r="N12" s="61"/>
      <c r="O12" s="61"/>
      <c r="P12" s="78"/>
      <c r="Q12" s="61"/>
      <c r="R12" s="61"/>
      <c r="S12" s="61"/>
      <c r="T12" s="61"/>
      <c r="U12" s="78"/>
      <c r="V12" s="61"/>
      <c r="W12" s="61"/>
      <c r="X12" s="145"/>
    </row>
    <row r="13" spans="1:24" s="2" customFormat="1" ht="15" customHeight="1" x14ac:dyDescent="0.35">
      <c r="A13" s="2" t="s">
        <v>47</v>
      </c>
      <c r="B13" s="61"/>
      <c r="C13" s="61"/>
      <c r="D13" s="61"/>
      <c r="E13" s="61"/>
      <c r="F13" s="78"/>
      <c r="G13" s="61"/>
      <c r="H13" s="61"/>
      <c r="I13" s="61"/>
      <c r="J13" s="61"/>
      <c r="K13" s="78"/>
      <c r="L13" s="61"/>
      <c r="M13" s="61"/>
      <c r="N13" s="61"/>
      <c r="O13" s="61"/>
      <c r="P13" s="78"/>
      <c r="Q13" s="61"/>
      <c r="R13" s="61"/>
      <c r="S13" s="61"/>
      <c r="T13" s="61"/>
      <c r="U13" s="78"/>
      <c r="V13" s="61"/>
      <c r="W13" s="61"/>
      <c r="X13" s="145"/>
    </row>
    <row r="14" spans="1:24" s="2" customFormat="1" ht="15" customHeight="1" x14ac:dyDescent="0.35">
      <c r="A14" s="18" t="s">
        <v>48</v>
      </c>
      <c r="B14" s="66">
        <v>-17846</v>
      </c>
      <c r="C14" s="66">
        <v>-19853</v>
      </c>
      <c r="D14" s="66">
        <v>-22442</v>
      </c>
      <c r="E14" s="66">
        <v>-26665</v>
      </c>
      <c r="F14" s="77">
        <v>-86807</v>
      </c>
      <c r="G14" s="66">
        <v>-27162</v>
      </c>
      <c r="H14" s="66">
        <v>-30235</v>
      </c>
      <c r="I14" s="66">
        <v>-30701</v>
      </c>
      <c r="J14" s="66">
        <v>-35552</v>
      </c>
      <c r="K14" s="77">
        <v>-123649</v>
      </c>
      <c r="L14" s="66">
        <v>-39521</v>
      </c>
      <c r="M14" s="66">
        <v>-43611</v>
      </c>
      <c r="N14" s="66">
        <v>-43860</v>
      </c>
      <c r="O14" s="66">
        <v>-46933</v>
      </c>
      <c r="P14" s="77">
        <v>-173925</v>
      </c>
      <c r="Q14" s="66">
        <v>-45318</v>
      </c>
      <c r="R14" s="66">
        <v>-47544</v>
      </c>
      <c r="S14" s="66">
        <v>-41796</v>
      </c>
      <c r="T14" s="66">
        <v>-44605</v>
      </c>
      <c r="U14" s="77">
        <v>-179263</v>
      </c>
      <c r="V14" s="66">
        <v>-46577</v>
      </c>
      <c r="W14" s="66">
        <v>-44015</v>
      </c>
      <c r="X14" s="145"/>
    </row>
    <row r="15" spans="1:24" s="2" customFormat="1" ht="15" customHeight="1" x14ac:dyDescent="0.35">
      <c r="A15" s="18" t="s">
        <v>49</v>
      </c>
      <c r="B15" s="66">
        <v>-53083</v>
      </c>
      <c r="C15" s="66">
        <v>-59727</v>
      </c>
      <c r="D15" s="66">
        <v>-56310</v>
      </c>
      <c r="E15" s="66">
        <v>-60410</v>
      </c>
      <c r="F15" s="77">
        <v>-229530</v>
      </c>
      <c r="G15" s="66">
        <v>-64473</v>
      </c>
      <c r="H15" s="66">
        <v>-69225</v>
      </c>
      <c r="I15" s="66">
        <v>-68164</v>
      </c>
      <c r="J15" s="66">
        <v>-80991</v>
      </c>
      <c r="K15" s="77">
        <v>-282853</v>
      </c>
      <c r="L15" s="66">
        <v>-90730</v>
      </c>
      <c r="M15" s="66">
        <v>-97900</v>
      </c>
      <c r="N15" s="66">
        <v>-95184</v>
      </c>
      <c r="O15" s="66">
        <v>-96834</v>
      </c>
      <c r="P15" s="77">
        <v>-380649</v>
      </c>
      <c r="Q15" s="66">
        <v>-95649</v>
      </c>
      <c r="R15" s="66">
        <v>-92726</v>
      </c>
      <c r="S15" s="66">
        <v>-90526</v>
      </c>
      <c r="T15" s="66">
        <v>-93806</v>
      </c>
      <c r="U15" s="77">
        <v>-372707</v>
      </c>
      <c r="V15" s="66">
        <v>-95909</v>
      </c>
      <c r="W15" s="66">
        <v>-95503</v>
      </c>
      <c r="X15" s="145"/>
    </row>
    <row r="16" spans="1:24" s="2" customFormat="1" ht="15" customHeight="1" x14ac:dyDescent="0.35">
      <c r="A16" s="18" t="s">
        <v>50</v>
      </c>
      <c r="B16" s="68">
        <v>-17546</v>
      </c>
      <c r="C16" s="68">
        <v>-20404</v>
      </c>
      <c r="D16" s="68">
        <v>-19915</v>
      </c>
      <c r="E16" s="68">
        <v>-21280</v>
      </c>
      <c r="F16" s="80">
        <v>-79145</v>
      </c>
      <c r="G16" s="68">
        <v>-24737</v>
      </c>
      <c r="H16" s="68">
        <v>-28610</v>
      </c>
      <c r="I16" s="68">
        <v>-32492</v>
      </c>
      <c r="J16" s="68">
        <v>-31630</v>
      </c>
      <c r="K16" s="80">
        <v>-117469</v>
      </c>
      <c r="L16" s="68">
        <v>-31516</v>
      </c>
      <c r="M16" s="68">
        <v>-32239</v>
      </c>
      <c r="N16" s="68">
        <v>-32389</v>
      </c>
      <c r="O16" s="68">
        <v>-30934</v>
      </c>
      <c r="P16" s="80">
        <v>-127077</v>
      </c>
      <c r="Q16" s="68">
        <f>-34585-6</f>
        <v>-34591</v>
      </c>
      <c r="R16" s="68">
        <v>-35644</v>
      </c>
      <c r="S16" s="68">
        <v>-32463</v>
      </c>
      <c r="T16" s="68">
        <v>-32461</v>
      </c>
      <c r="U16" s="80">
        <v>-135159</v>
      </c>
      <c r="V16" s="68">
        <v>-33770</v>
      </c>
      <c r="W16" s="68">
        <v>-35767</v>
      </c>
      <c r="X16" s="145"/>
    </row>
    <row r="17" spans="1:24" s="2" customFormat="1" ht="15" customHeight="1" x14ac:dyDescent="0.35">
      <c r="A17" s="18" t="s">
        <v>51</v>
      </c>
      <c r="B17" s="69">
        <f>SUM(B14:B16)</f>
        <v>-88475</v>
      </c>
      <c r="C17" s="69">
        <f t="shared" ref="C17:E17" si="4">SUM(C14:C16)</f>
        <v>-99984</v>
      </c>
      <c r="D17" s="69">
        <f t="shared" si="4"/>
        <v>-98667</v>
      </c>
      <c r="E17" s="69">
        <f t="shared" si="4"/>
        <v>-108355</v>
      </c>
      <c r="F17" s="81">
        <f t="shared" ref="F17" si="5">SUM(F14:F16)</f>
        <v>-395482</v>
      </c>
      <c r="G17" s="69">
        <f>SUM(G14:G16)</f>
        <v>-116372</v>
      </c>
      <c r="H17" s="69">
        <f>SUM(H14:H16)</f>
        <v>-128070</v>
      </c>
      <c r="I17" s="69">
        <v>-131357</v>
      </c>
      <c r="J17" s="69">
        <f>SUM(J14:J16)</f>
        <v>-148173</v>
      </c>
      <c r="K17" s="81">
        <f>SUM(K14:K16)</f>
        <v>-523971</v>
      </c>
      <c r="L17" s="69">
        <f>SUM(L14:L16)</f>
        <v>-161767</v>
      </c>
      <c r="M17" s="69">
        <f>SUM(M14:M16)</f>
        <v>-173750</v>
      </c>
      <c r="N17" s="69">
        <v>-171433</v>
      </c>
      <c r="O17" s="69">
        <f t="shared" ref="O17:U17" si="6">SUM(O14:O16)</f>
        <v>-174701</v>
      </c>
      <c r="P17" s="81">
        <f t="shared" si="6"/>
        <v>-681651</v>
      </c>
      <c r="Q17" s="69">
        <f t="shared" si="6"/>
        <v>-175558</v>
      </c>
      <c r="R17" s="69">
        <f t="shared" si="6"/>
        <v>-175914</v>
      </c>
      <c r="S17" s="69">
        <f t="shared" si="6"/>
        <v>-164785</v>
      </c>
      <c r="T17" s="69">
        <f t="shared" si="6"/>
        <v>-170872</v>
      </c>
      <c r="U17" s="81">
        <f t="shared" si="6"/>
        <v>-687129</v>
      </c>
      <c r="V17" s="69">
        <f t="shared" ref="V17:W17" si="7">SUM(V14:V16)</f>
        <v>-176256</v>
      </c>
      <c r="W17" s="69">
        <f t="shared" si="7"/>
        <v>-175285</v>
      </c>
      <c r="X17" s="145"/>
    </row>
    <row r="18" spans="1:24" s="2" customFormat="1" ht="15" customHeight="1" x14ac:dyDescent="0.35">
      <c r="A18" s="2" t="s">
        <v>52</v>
      </c>
      <c r="B18" s="69">
        <f>SUM(B11, B17)</f>
        <v>16840</v>
      </c>
      <c r="C18" s="69">
        <f t="shared" ref="C18:E18" si="8">SUM(C11, C17)</f>
        <v>7840</v>
      </c>
      <c r="D18" s="69">
        <f t="shared" si="8"/>
        <v>17831</v>
      </c>
      <c r="E18" s="69">
        <f t="shared" si="8"/>
        <v>33825</v>
      </c>
      <c r="F18" s="81">
        <f t="shared" ref="F18" si="9">SUM(F11, F17)</f>
        <v>76334</v>
      </c>
      <c r="G18" s="69">
        <f>SUM(G11, G17)</f>
        <v>27788</v>
      </c>
      <c r="H18" s="69">
        <f>SUM(H11,H17)</f>
        <v>17883</v>
      </c>
      <c r="I18" s="69">
        <v>22868</v>
      </c>
      <c r="J18" s="69">
        <f>SUM(J11,J17)</f>
        <v>52466</v>
      </c>
      <c r="K18" s="81">
        <f>SUM(K11,K17)</f>
        <v>121004</v>
      </c>
      <c r="L18" s="69">
        <f>SUM(L11,L17)</f>
        <v>21052</v>
      </c>
      <c r="M18" s="69">
        <f>SUM(M11,M17)</f>
        <v>13264</v>
      </c>
      <c r="N18" s="69">
        <v>33013</v>
      </c>
      <c r="O18" s="69">
        <f t="shared" ref="O18:U18" si="10">SUM(O11,O17)</f>
        <v>70516</v>
      </c>
      <c r="P18" s="81">
        <f t="shared" si="10"/>
        <v>137844</v>
      </c>
      <c r="Q18" s="69">
        <f t="shared" si="10"/>
        <v>34801</v>
      </c>
      <c r="R18" s="69">
        <f t="shared" si="10"/>
        <v>24351</v>
      </c>
      <c r="S18" s="69">
        <f t="shared" si="10"/>
        <v>25776</v>
      </c>
      <c r="T18" s="69">
        <f t="shared" si="10"/>
        <v>62179</v>
      </c>
      <c r="U18" s="81">
        <f t="shared" si="10"/>
        <v>147107</v>
      </c>
      <c r="V18" s="69">
        <f t="shared" ref="V18:W18" si="11">SUM(V11,V17)</f>
        <v>33393</v>
      </c>
      <c r="W18" s="69">
        <f t="shared" si="11"/>
        <v>19574</v>
      </c>
      <c r="X18" s="145"/>
    </row>
    <row r="19" spans="1:24" s="2" customFormat="1" ht="15" customHeight="1" x14ac:dyDescent="0.35">
      <c r="A19" s="2" t="s">
        <v>53</v>
      </c>
      <c r="B19" s="70">
        <v>3920</v>
      </c>
      <c r="C19" s="70">
        <v>-2546</v>
      </c>
      <c r="D19" s="70">
        <v>-6650</v>
      </c>
      <c r="E19" s="70">
        <v>735</v>
      </c>
      <c r="F19" s="82">
        <v>-4541</v>
      </c>
      <c r="G19" s="70">
        <v>-1317</v>
      </c>
      <c r="H19" s="70">
        <v>-94</v>
      </c>
      <c r="I19" s="70">
        <v>-570</v>
      </c>
      <c r="J19" s="70">
        <v>1435</v>
      </c>
      <c r="K19" s="82">
        <v>-546</v>
      </c>
      <c r="L19" s="70">
        <v>-2333</v>
      </c>
      <c r="M19" s="70">
        <v>-2094</v>
      </c>
      <c r="N19" s="70">
        <v>-2886</v>
      </c>
      <c r="O19" s="70">
        <v>-2221</v>
      </c>
      <c r="P19" s="82">
        <v>-9534</v>
      </c>
      <c r="Q19" s="70">
        <v>-1325</v>
      </c>
      <c r="R19" s="70">
        <v>-1006</v>
      </c>
      <c r="S19" s="70">
        <v>-1007</v>
      </c>
      <c r="T19" s="70">
        <v>-1746</v>
      </c>
      <c r="U19" s="82">
        <v>-5084</v>
      </c>
      <c r="V19" s="70">
        <v>-1974</v>
      </c>
      <c r="W19" s="70">
        <v>-1354</v>
      </c>
      <c r="X19" s="145"/>
    </row>
    <row r="20" spans="1:24" s="2" customFormat="1" ht="15" customHeight="1" x14ac:dyDescent="0.35">
      <c r="A20" s="2" t="s">
        <v>54</v>
      </c>
      <c r="B20" s="69">
        <f>SUM(B18:B19)</f>
        <v>20760</v>
      </c>
      <c r="C20" s="69">
        <f t="shared" ref="C20:E20" si="12">SUM(C18:C19)</f>
        <v>5294</v>
      </c>
      <c r="D20" s="69">
        <f t="shared" si="12"/>
        <v>11181</v>
      </c>
      <c r="E20" s="69">
        <f t="shared" si="12"/>
        <v>34560</v>
      </c>
      <c r="F20" s="81">
        <v>71793</v>
      </c>
      <c r="G20" s="69">
        <f>SUM(G18:G19)</f>
        <v>26471</v>
      </c>
      <c r="H20" s="69">
        <f>SUM(H18:H19)</f>
        <v>17789</v>
      </c>
      <c r="I20" s="69">
        <v>22298</v>
      </c>
      <c r="J20" s="69">
        <f>SUM(J18:J19)</f>
        <v>53901</v>
      </c>
      <c r="K20" s="81">
        <f>SUM(K18:K19)</f>
        <v>120458</v>
      </c>
      <c r="L20" s="69">
        <f>SUM(L18:L19)</f>
        <v>18719</v>
      </c>
      <c r="M20" s="69">
        <f>SUM(M18:M19)</f>
        <v>11170</v>
      </c>
      <c r="N20" s="69">
        <v>30127</v>
      </c>
      <c r="O20" s="69">
        <f t="shared" ref="O20:W20" si="13">SUM(O18:O19)</f>
        <v>68295</v>
      </c>
      <c r="P20" s="81">
        <f t="shared" si="13"/>
        <v>128310</v>
      </c>
      <c r="Q20" s="69">
        <f t="shared" si="13"/>
        <v>33476</v>
      </c>
      <c r="R20" s="69">
        <f t="shared" si="13"/>
        <v>23345</v>
      </c>
      <c r="S20" s="69">
        <f t="shared" si="13"/>
        <v>24769</v>
      </c>
      <c r="T20" s="69">
        <f t="shared" si="13"/>
        <v>60433</v>
      </c>
      <c r="U20" s="81">
        <f t="shared" si="13"/>
        <v>142023</v>
      </c>
      <c r="V20" s="69">
        <f t="shared" si="13"/>
        <v>31419</v>
      </c>
      <c r="W20" s="69">
        <f t="shared" si="13"/>
        <v>18220</v>
      </c>
      <c r="X20" s="145"/>
    </row>
    <row r="21" spans="1:24" s="2" customFormat="1" ht="15" customHeight="1" x14ac:dyDescent="0.35">
      <c r="A21" s="2" t="s">
        <v>55</v>
      </c>
      <c r="B21" s="70">
        <v>-7143</v>
      </c>
      <c r="C21" s="70">
        <v>-1365</v>
      </c>
      <c r="D21" s="70">
        <v>-5388</v>
      </c>
      <c r="E21" s="70">
        <v>4378</v>
      </c>
      <c r="F21" s="82">
        <v>-9517</v>
      </c>
      <c r="G21" s="70">
        <v>-7944</v>
      </c>
      <c r="H21" s="70">
        <v>-4450</v>
      </c>
      <c r="I21" s="70">
        <v>-7574</v>
      </c>
      <c r="J21" s="70">
        <v>-13161</v>
      </c>
      <c r="K21" s="82">
        <v>-33129</v>
      </c>
      <c r="L21" s="70">
        <v>-4201</v>
      </c>
      <c r="M21" s="70">
        <v>-3665</v>
      </c>
      <c r="N21" s="70">
        <v>-7858</v>
      </c>
      <c r="O21" s="70">
        <v>-15927</v>
      </c>
      <c r="P21" s="82">
        <v>-31651</v>
      </c>
      <c r="Q21" s="70">
        <v>-12386</v>
      </c>
      <c r="R21" s="70">
        <v>-8638</v>
      </c>
      <c r="S21" s="70">
        <v>-6821</v>
      </c>
      <c r="T21" s="70">
        <v>-18299</v>
      </c>
      <c r="U21" s="82">
        <v>-46144</v>
      </c>
      <c r="V21" s="70">
        <v>-10018</v>
      </c>
      <c r="W21" s="70">
        <v>-5683</v>
      </c>
      <c r="X21" s="145"/>
    </row>
    <row r="22" spans="1:24" s="2" customFormat="1" ht="15" customHeight="1" thickBot="1" x14ac:dyDescent="0.4">
      <c r="A22" s="2" t="s">
        <v>56</v>
      </c>
      <c r="B22" s="71">
        <f>SUM(B20:B21)</f>
        <v>13617</v>
      </c>
      <c r="C22" s="71">
        <f t="shared" ref="C22:E22" si="14">SUM(C20:C21)</f>
        <v>3929</v>
      </c>
      <c r="D22" s="71">
        <f t="shared" si="14"/>
        <v>5793</v>
      </c>
      <c r="E22" s="71">
        <f t="shared" si="14"/>
        <v>38938</v>
      </c>
      <c r="F22" s="83">
        <f t="shared" ref="F22" si="15">SUM(F20:F21)</f>
        <v>62276</v>
      </c>
      <c r="G22" s="71">
        <f>SUM(G20:G21)</f>
        <v>18527</v>
      </c>
      <c r="H22" s="71">
        <f>SUM(H20:H21)</f>
        <v>13339</v>
      </c>
      <c r="I22" s="71">
        <v>14724</v>
      </c>
      <c r="J22" s="71">
        <f t="shared" ref="J22:P22" si="16">SUM(J20:J21)</f>
        <v>40740</v>
      </c>
      <c r="K22" s="83">
        <f t="shared" si="16"/>
        <v>87329</v>
      </c>
      <c r="L22" s="71">
        <f t="shared" si="16"/>
        <v>14518</v>
      </c>
      <c r="M22" s="71">
        <f>SUM(M20:M21)</f>
        <v>7505</v>
      </c>
      <c r="N22" s="71">
        <v>22269</v>
      </c>
      <c r="O22" s="71">
        <f t="shared" si="16"/>
        <v>52368</v>
      </c>
      <c r="P22" s="83">
        <f t="shared" si="16"/>
        <v>96659</v>
      </c>
      <c r="Q22" s="71">
        <f>SUM(Q20:Q21)</f>
        <v>21090</v>
      </c>
      <c r="R22" s="71">
        <f>SUM(R20:R21)</f>
        <v>14707</v>
      </c>
      <c r="S22" s="71">
        <f>SUM(S20:S21)</f>
        <v>17948</v>
      </c>
      <c r="T22" s="71">
        <f t="shared" ref="T22:U22" si="17">SUM(T20:T21)</f>
        <v>42134</v>
      </c>
      <c r="U22" s="83">
        <f t="shared" si="17"/>
        <v>95879</v>
      </c>
      <c r="V22" s="71">
        <f>SUM(V20:V21)</f>
        <v>21401</v>
      </c>
      <c r="W22" s="71">
        <f>SUM(W20:W21)</f>
        <v>12537</v>
      </c>
      <c r="X22" s="145"/>
    </row>
    <row r="23" spans="1:24" s="2" customFormat="1" ht="15" customHeight="1" thickTop="1" x14ac:dyDescent="0.35">
      <c r="A23" s="3"/>
      <c r="B23" s="64"/>
      <c r="C23" s="64"/>
      <c r="D23" s="64"/>
      <c r="E23" s="64"/>
      <c r="F23" s="75"/>
      <c r="G23" s="64"/>
      <c r="H23" s="64"/>
      <c r="I23" s="64"/>
      <c r="J23" s="64"/>
      <c r="K23" s="75"/>
      <c r="L23" s="64"/>
      <c r="M23" s="64"/>
      <c r="N23" s="64"/>
      <c r="O23" s="64"/>
      <c r="P23" s="75"/>
      <c r="Q23" s="64"/>
      <c r="R23" s="64"/>
      <c r="S23" s="64"/>
      <c r="T23" s="64"/>
      <c r="U23" s="75"/>
      <c r="V23" s="64"/>
      <c r="W23" s="64"/>
    </row>
    <row r="24" spans="1:24" s="2" customFormat="1" ht="15" customHeight="1" thickBot="1" x14ac:dyDescent="0.4">
      <c r="A24" s="2" t="s">
        <v>57</v>
      </c>
      <c r="B24" s="71">
        <f>B22-B25</f>
        <v>12982</v>
      </c>
      <c r="C24" s="71">
        <f t="shared" ref="C24:E24" si="18">C22-C25</f>
        <v>3540</v>
      </c>
      <c r="D24" s="71">
        <f t="shared" si="18"/>
        <v>5096</v>
      </c>
      <c r="E24" s="71">
        <f t="shared" si="18"/>
        <v>37936</v>
      </c>
      <c r="F24" s="83">
        <f t="shared" ref="F24" si="19">F22-F25</f>
        <v>59553</v>
      </c>
      <c r="G24" s="71">
        <f>G22-G25</f>
        <v>17131</v>
      </c>
      <c r="H24" s="71">
        <f>H22-H25</f>
        <v>12200</v>
      </c>
      <c r="I24" s="71">
        <v>13539</v>
      </c>
      <c r="J24" s="71">
        <f>J22-J25</f>
        <v>39403</v>
      </c>
      <c r="K24" s="83">
        <f>K22-K25</f>
        <v>82272</v>
      </c>
      <c r="L24" s="71">
        <f>L22-L25</f>
        <v>12442</v>
      </c>
      <c r="M24" s="71">
        <f>M22-M25</f>
        <v>5970</v>
      </c>
      <c r="N24" s="71">
        <v>19774</v>
      </c>
      <c r="O24" s="71">
        <f t="shared" ref="O24:W24" si="20">O22-O25</f>
        <v>53030</v>
      </c>
      <c r="P24" s="83">
        <f t="shared" si="20"/>
        <v>91214</v>
      </c>
      <c r="Q24" s="71">
        <f t="shared" si="20"/>
        <v>19809</v>
      </c>
      <c r="R24" s="71">
        <f t="shared" si="20"/>
        <v>13726</v>
      </c>
      <c r="S24" s="71">
        <f t="shared" si="20"/>
        <v>17143</v>
      </c>
      <c r="T24" s="71">
        <f t="shared" si="20"/>
        <v>37966</v>
      </c>
      <c r="U24" s="83">
        <f t="shared" si="20"/>
        <v>88644</v>
      </c>
      <c r="V24" s="71">
        <f t="shared" si="20"/>
        <v>19120</v>
      </c>
      <c r="W24" s="71">
        <f t="shared" si="20"/>
        <v>10823</v>
      </c>
    </row>
    <row r="25" spans="1:24" s="2" customFormat="1" ht="15" customHeight="1" thickTop="1" thickBot="1" x14ac:dyDescent="0.4">
      <c r="A25" s="2" t="s">
        <v>58</v>
      </c>
      <c r="B25" s="72">
        <v>635</v>
      </c>
      <c r="C25" s="72">
        <v>389</v>
      </c>
      <c r="D25" s="72">
        <v>697</v>
      </c>
      <c r="E25" s="72">
        <v>1002</v>
      </c>
      <c r="F25" s="84">
        <v>2723</v>
      </c>
      <c r="G25" s="72">
        <v>1396</v>
      </c>
      <c r="H25" s="72">
        <v>1139</v>
      </c>
      <c r="I25" s="72">
        <v>1185</v>
      </c>
      <c r="J25" s="72">
        <v>1337</v>
      </c>
      <c r="K25" s="84">
        <v>5057</v>
      </c>
      <c r="L25" s="72">
        <v>2076</v>
      </c>
      <c r="M25" s="72">
        <v>1535</v>
      </c>
      <c r="N25" s="72">
        <v>2495</v>
      </c>
      <c r="O25" s="72">
        <v>-662</v>
      </c>
      <c r="P25" s="84">
        <v>5445</v>
      </c>
      <c r="Q25" s="72">
        <v>1281</v>
      </c>
      <c r="R25" s="72">
        <v>981</v>
      </c>
      <c r="S25" s="72">
        <v>805</v>
      </c>
      <c r="T25" s="72">
        <v>4168</v>
      </c>
      <c r="U25" s="84">
        <v>7235</v>
      </c>
      <c r="V25" s="72">
        <v>2281</v>
      </c>
      <c r="W25" s="72">
        <v>1714</v>
      </c>
    </row>
    <row r="26" spans="1:24" s="2" customFormat="1" ht="15" customHeight="1" thickTop="1" x14ac:dyDescent="0.35">
      <c r="A26" s="3"/>
      <c r="B26" s="19"/>
      <c r="C26" s="19"/>
      <c r="D26" s="19"/>
      <c r="E26" s="19"/>
      <c r="F26" s="17"/>
      <c r="G26" s="19"/>
      <c r="H26" s="19"/>
      <c r="I26" s="19"/>
      <c r="J26" s="19"/>
      <c r="K26" s="17"/>
      <c r="L26" s="19"/>
      <c r="M26" s="19"/>
      <c r="N26" s="19"/>
      <c r="O26" s="19"/>
      <c r="P26" s="17"/>
      <c r="Q26" s="19"/>
      <c r="R26" s="19"/>
      <c r="S26" s="19"/>
      <c r="T26" s="19"/>
      <c r="U26" s="17"/>
      <c r="V26" s="19"/>
      <c r="W26" s="19"/>
    </row>
    <row r="27" spans="1:24" s="2" customFormat="1" ht="25.5" x14ac:dyDescent="0.35">
      <c r="A27" s="2" t="s">
        <v>59</v>
      </c>
      <c r="B27" s="19"/>
      <c r="C27" s="19"/>
      <c r="D27" s="19"/>
      <c r="E27" s="19"/>
      <c r="F27" s="17"/>
      <c r="G27" s="19"/>
      <c r="H27" s="19"/>
      <c r="I27" s="19"/>
      <c r="J27" s="19"/>
      <c r="K27" s="17"/>
      <c r="L27" s="19"/>
      <c r="M27" s="19"/>
      <c r="N27" s="19"/>
      <c r="O27" s="19"/>
      <c r="P27" s="17"/>
      <c r="Q27" s="19"/>
      <c r="R27" s="19"/>
      <c r="S27" s="19"/>
      <c r="T27" s="19"/>
      <c r="U27" s="17"/>
      <c r="V27" s="19"/>
      <c r="W27" s="19"/>
    </row>
    <row r="28" spans="1:24" s="2" customFormat="1" ht="15" customHeight="1" x14ac:dyDescent="0.35">
      <c r="A28" s="2" t="s">
        <v>60</v>
      </c>
      <c r="B28" s="65">
        <f>'Shares Outstanding'!B6</f>
        <v>61174168</v>
      </c>
      <c r="C28" s="66">
        <v>61719367</v>
      </c>
      <c r="D28" s="66">
        <v>62082110</v>
      </c>
      <c r="E28" s="66">
        <v>62348620</v>
      </c>
      <c r="F28" s="76">
        <f>'Shares Outstanding'!E6</f>
        <v>61835499</v>
      </c>
      <c r="G28" s="65">
        <f>'Shares Outstanding'!F6</f>
        <v>62610013</v>
      </c>
      <c r="H28" s="66">
        <v>63246785</v>
      </c>
      <c r="I28" s="66">
        <v>63628351</v>
      </c>
      <c r="J28" s="66">
        <v>63760491</v>
      </c>
      <c r="K28" s="76">
        <f>'Shares Outstanding'!I6</f>
        <v>63337792</v>
      </c>
      <c r="L28" s="65">
        <f>'Shares Outstanding'!J6</f>
        <v>64189194</v>
      </c>
      <c r="M28" s="66">
        <v>65027985</v>
      </c>
      <c r="N28" s="66">
        <v>65412326</v>
      </c>
      <c r="O28" s="66">
        <v>65919533</v>
      </c>
      <c r="P28" s="76">
        <f>'Shares Outstanding'!M6</f>
        <v>65143036</v>
      </c>
      <c r="Q28" s="65">
        <f>'Shares Outstanding'!N6</f>
        <v>66160375</v>
      </c>
      <c r="R28" s="66">
        <v>66347599</v>
      </c>
      <c r="S28" s="66">
        <v>67075453</v>
      </c>
      <c r="T28" s="66">
        <v>66220030</v>
      </c>
      <c r="U28" s="76">
        <f>'Shares Outstanding'!Q6</f>
        <v>66456890</v>
      </c>
      <c r="V28" s="65">
        <f>'Shares Outstanding'!R6</f>
        <v>64336777</v>
      </c>
      <c r="W28" s="66">
        <v>64581476</v>
      </c>
    </row>
    <row r="29" spans="1:24" s="2" customFormat="1" ht="15" customHeight="1" x14ac:dyDescent="0.35">
      <c r="A29" s="2" t="s">
        <v>61</v>
      </c>
      <c r="B29" s="65">
        <f>'Shares Outstanding'!B8</f>
        <v>64741942</v>
      </c>
      <c r="C29" s="66">
        <v>65279611</v>
      </c>
      <c r="D29" s="66">
        <v>65254238</v>
      </c>
      <c r="E29" s="66">
        <v>65092423</v>
      </c>
      <c r="F29" s="76">
        <f>'Shares Outstanding'!E8</f>
        <v>65096486</v>
      </c>
      <c r="G29" s="65">
        <f>'Shares Outstanding'!F8</f>
        <v>64841134</v>
      </c>
      <c r="H29" s="66">
        <v>65625097</v>
      </c>
      <c r="I29" s="66">
        <v>65816422</v>
      </c>
      <c r="J29" s="66">
        <v>66145704</v>
      </c>
      <c r="K29" s="76">
        <f>'Shares Outstanding'!I8</f>
        <v>65633470</v>
      </c>
      <c r="L29" s="65">
        <f>'Shares Outstanding'!J8</f>
        <v>67283012</v>
      </c>
      <c r="M29" s="66">
        <v>68131274</v>
      </c>
      <c r="N29" s="66">
        <v>68200343</v>
      </c>
      <c r="O29" s="66">
        <v>67770156</v>
      </c>
      <c r="P29" s="76">
        <f>'Shares Outstanding'!M8</f>
        <v>67851971</v>
      </c>
      <c r="Q29" s="65">
        <f>'Shares Outstanding'!N8</f>
        <v>67469738</v>
      </c>
      <c r="R29" s="66">
        <v>67488311</v>
      </c>
      <c r="S29" s="66">
        <v>68625673</v>
      </c>
      <c r="T29" s="66">
        <v>67043794</v>
      </c>
      <c r="U29" s="76">
        <f>'Shares Outstanding'!Q8</f>
        <v>67662904</v>
      </c>
      <c r="V29" s="65">
        <f>'Shares Outstanding'!R8</f>
        <v>66041296</v>
      </c>
      <c r="W29" s="66">
        <v>65624505</v>
      </c>
    </row>
    <row r="30" spans="1:24" s="2" customFormat="1" ht="15" customHeight="1" x14ac:dyDescent="0.35">
      <c r="A30" s="3"/>
      <c r="B30" s="19"/>
      <c r="C30" s="19"/>
      <c r="D30" s="19"/>
      <c r="E30" s="19"/>
      <c r="F30" s="17"/>
      <c r="G30" s="19"/>
      <c r="H30" s="19"/>
      <c r="I30" s="19"/>
      <c r="J30" s="19"/>
      <c r="K30" s="17"/>
      <c r="L30" s="19"/>
      <c r="M30" s="19"/>
      <c r="N30" s="19"/>
      <c r="O30" s="19"/>
      <c r="P30" s="17"/>
      <c r="Q30" s="19"/>
      <c r="R30" s="19"/>
      <c r="S30" s="19"/>
      <c r="T30" s="19"/>
      <c r="U30" s="17"/>
      <c r="V30" s="19"/>
      <c r="W30" s="19"/>
    </row>
    <row r="31" spans="1:24" s="2" customFormat="1" ht="15" customHeight="1" x14ac:dyDescent="0.35">
      <c r="A31" s="2" t="s">
        <v>62</v>
      </c>
      <c r="B31" s="19"/>
      <c r="C31" s="19"/>
      <c r="D31" s="19"/>
      <c r="E31" s="19"/>
      <c r="F31" s="17"/>
      <c r="G31" s="19"/>
      <c r="H31" s="19"/>
      <c r="I31" s="19"/>
      <c r="J31" s="19"/>
      <c r="K31" s="17"/>
      <c r="L31" s="19"/>
      <c r="M31" s="19"/>
      <c r="N31" s="19"/>
      <c r="O31" s="19"/>
      <c r="P31" s="17"/>
      <c r="Q31" s="19"/>
      <c r="R31" s="19"/>
      <c r="S31" s="19"/>
      <c r="T31" s="19"/>
      <c r="U31" s="17"/>
      <c r="V31" s="19"/>
      <c r="W31" s="19"/>
    </row>
    <row r="32" spans="1:24" s="2" customFormat="1" ht="15" customHeight="1" thickBot="1" x14ac:dyDescent="0.4">
      <c r="A32" s="2" t="s">
        <v>60</v>
      </c>
      <c r="B32" s="73">
        <f>ROUND(B24*1000/B28,2)</f>
        <v>0.21</v>
      </c>
      <c r="C32" s="73">
        <f t="shared" ref="C32:Q32" si="21">ROUND(C24*1000/C28,2)</f>
        <v>0.06</v>
      </c>
      <c r="D32" s="73">
        <f t="shared" si="21"/>
        <v>0.08</v>
      </c>
      <c r="E32" s="73">
        <f t="shared" si="21"/>
        <v>0.61</v>
      </c>
      <c r="F32" s="85">
        <f t="shared" si="21"/>
        <v>0.96</v>
      </c>
      <c r="G32" s="73">
        <f t="shared" si="21"/>
        <v>0.27</v>
      </c>
      <c r="H32" s="73">
        <f t="shared" si="21"/>
        <v>0.19</v>
      </c>
      <c r="I32" s="73">
        <f t="shared" si="21"/>
        <v>0.21</v>
      </c>
      <c r="J32" s="73">
        <f t="shared" si="21"/>
        <v>0.62</v>
      </c>
      <c r="K32" s="85">
        <f t="shared" si="21"/>
        <v>1.3</v>
      </c>
      <c r="L32" s="73">
        <f t="shared" si="21"/>
        <v>0.19</v>
      </c>
      <c r="M32" s="73">
        <f t="shared" si="21"/>
        <v>0.09</v>
      </c>
      <c r="N32" s="73">
        <f t="shared" si="21"/>
        <v>0.3</v>
      </c>
      <c r="O32" s="73">
        <f t="shared" si="21"/>
        <v>0.8</v>
      </c>
      <c r="P32" s="85">
        <f t="shared" si="21"/>
        <v>1.4</v>
      </c>
      <c r="Q32" s="73">
        <f t="shared" si="21"/>
        <v>0.3</v>
      </c>
      <c r="R32" s="73">
        <f t="shared" ref="R32:V32" si="22">ROUND(R24*1000/R28,2)</f>
        <v>0.21</v>
      </c>
      <c r="S32" s="73">
        <f t="shared" si="22"/>
        <v>0.26</v>
      </c>
      <c r="T32" s="73">
        <f t="shared" si="22"/>
        <v>0.56999999999999995</v>
      </c>
      <c r="U32" s="85">
        <f t="shared" si="22"/>
        <v>1.33</v>
      </c>
      <c r="V32" s="73">
        <f t="shared" si="22"/>
        <v>0.3</v>
      </c>
      <c r="W32" s="73">
        <f t="shared" ref="W32" si="23">ROUND(W24*1000/W28,2)</f>
        <v>0.17</v>
      </c>
    </row>
    <row r="33" spans="1:23" s="2" customFormat="1" ht="15" customHeight="1" thickTop="1" thickBot="1" x14ac:dyDescent="0.4">
      <c r="A33" s="2" t="s">
        <v>61</v>
      </c>
      <c r="B33" s="73">
        <f>ROUND(B24*1000/B29,2)</f>
        <v>0.2</v>
      </c>
      <c r="C33" s="73">
        <f t="shared" ref="C33:Q33" si="24">ROUND(C24*1000/C29,2)</f>
        <v>0.05</v>
      </c>
      <c r="D33" s="73">
        <f t="shared" si="24"/>
        <v>0.08</v>
      </c>
      <c r="E33" s="73">
        <f t="shared" si="24"/>
        <v>0.57999999999999996</v>
      </c>
      <c r="F33" s="85">
        <f t="shared" si="24"/>
        <v>0.91</v>
      </c>
      <c r="G33" s="73">
        <f t="shared" si="24"/>
        <v>0.26</v>
      </c>
      <c r="H33" s="73">
        <f t="shared" si="24"/>
        <v>0.19</v>
      </c>
      <c r="I33" s="73">
        <f t="shared" si="24"/>
        <v>0.21</v>
      </c>
      <c r="J33" s="73">
        <f t="shared" si="24"/>
        <v>0.6</v>
      </c>
      <c r="K33" s="85">
        <f t="shared" si="24"/>
        <v>1.25</v>
      </c>
      <c r="L33" s="73">
        <f t="shared" si="24"/>
        <v>0.18</v>
      </c>
      <c r="M33" s="73">
        <f t="shared" si="24"/>
        <v>0.09</v>
      </c>
      <c r="N33" s="73">
        <f t="shared" si="24"/>
        <v>0.28999999999999998</v>
      </c>
      <c r="O33" s="73">
        <f t="shared" si="24"/>
        <v>0.78</v>
      </c>
      <c r="P33" s="85">
        <f t="shared" si="24"/>
        <v>1.34</v>
      </c>
      <c r="Q33" s="73">
        <f t="shared" si="24"/>
        <v>0.28999999999999998</v>
      </c>
      <c r="R33" s="73">
        <f t="shared" ref="R33:V33" si="25">ROUND(R24*1000/R29,2)</f>
        <v>0.2</v>
      </c>
      <c r="S33" s="73">
        <f t="shared" si="25"/>
        <v>0.25</v>
      </c>
      <c r="T33" s="73">
        <f t="shared" si="25"/>
        <v>0.56999999999999995</v>
      </c>
      <c r="U33" s="85">
        <f t="shared" si="25"/>
        <v>1.31</v>
      </c>
      <c r="V33" s="73">
        <f t="shared" si="25"/>
        <v>0.28999999999999998</v>
      </c>
      <c r="W33" s="73">
        <f t="shared" ref="W33" si="26">ROUND(W24*1000/W29,2)</f>
        <v>0.16</v>
      </c>
    </row>
    <row r="34" spans="1:23" s="2" customFormat="1" ht="15" customHeight="1" thickTop="1" x14ac:dyDescent="0.35">
      <c r="A34" s="3"/>
      <c r="B34" s="3"/>
      <c r="C34" s="3"/>
      <c r="D34" s="3"/>
      <c r="E34" s="3"/>
      <c r="F34" s="17"/>
      <c r="G34" s="3"/>
      <c r="H34" s="3"/>
      <c r="I34" s="3"/>
      <c r="J34" s="3"/>
      <c r="K34" s="17"/>
      <c r="L34" s="3"/>
      <c r="M34" s="3"/>
      <c r="N34" s="3"/>
      <c r="O34" s="3"/>
      <c r="P34" s="17"/>
      <c r="Q34" s="3"/>
      <c r="R34" s="3"/>
      <c r="S34" s="3"/>
      <c r="T34" s="3"/>
      <c r="U34" s="17"/>
      <c r="V34" s="3"/>
      <c r="W34" s="3"/>
    </row>
    <row r="35" spans="1:23" ht="15" customHeight="1" x14ac:dyDescent="0.35">
      <c r="A35" s="19"/>
      <c r="B35" s="19"/>
      <c r="C35" s="19"/>
      <c r="D35" s="19"/>
      <c r="E35" s="19"/>
      <c r="F35" s="19"/>
      <c r="G35" s="19"/>
      <c r="H35" s="19"/>
      <c r="I35" s="19"/>
      <c r="J35" s="19"/>
      <c r="K35" s="19"/>
      <c r="L35" s="19"/>
      <c r="M35" s="19"/>
      <c r="N35" s="19"/>
      <c r="O35" s="19"/>
      <c r="P35" s="19"/>
      <c r="Q35" s="19"/>
      <c r="R35" s="19"/>
      <c r="S35" s="19"/>
      <c r="T35" s="19"/>
      <c r="U35" s="19"/>
      <c r="V35" s="19"/>
      <c r="W35" s="19"/>
    </row>
    <row r="36" spans="1:23" ht="15" customHeight="1" x14ac:dyDescent="0.35">
      <c r="A36" s="19"/>
      <c r="B36" s="19"/>
      <c r="C36" s="19"/>
      <c r="D36" s="19"/>
      <c r="E36" s="19"/>
      <c r="F36" s="19"/>
      <c r="G36" s="19"/>
      <c r="H36" s="19"/>
      <c r="I36" s="19"/>
      <c r="J36" s="19"/>
      <c r="K36" s="19"/>
      <c r="L36" s="19"/>
      <c r="M36" s="19"/>
      <c r="N36" s="19"/>
      <c r="O36" s="19"/>
      <c r="P36" s="19"/>
      <c r="Q36" s="19"/>
      <c r="R36" s="19"/>
      <c r="S36" s="19"/>
      <c r="T36" s="19"/>
      <c r="U36" s="19"/>
      <c r="V36" s="19"/>
      <c r="W36" s="19"/>
    </row>
    <row r="37" spans="1:23" ht="15" customHeight="1" x14ac:dyDescent="0.35">
      <c r="A37" s="19"/>
      <c r="B37" s="19"/>
      <c r="C37" s="19"/>
      <c r="D37" s="19"/>
      <c r="E37" s="19"/>
      <c r="F37" s="19"/>
      <c r="G37" s="19"/>
      <c r="H37" s="19"/>
      <c r="I37" s="19"/>
      <c r="J37" s="19"/>
      <c r="K37" s="19"/>
      <c r="L37" s="19"/>
      <c r="M37" s="19"/>
      <c r="N37" s="19"/>
      <c r="O37" s="19"/>
      <c r="P37" s="19"/>
      <c r="Q37" s="19"/>
      <c r="R37" s="19"/>
      <c r="S37" s="19"/>
      <c r="T37" s="19"/>
      <c r="U37" s="19"/>
      <c r="V37" s="19"/>
      <c r="W37" s="19"/>
    </row>
    <row r="38" spans="1:23" ht="15" customHeight="1" x14ac:dyDescent="0.35">
      <c r="A38" s="19"/>
      <c r="B38" s="19"/>
      <c r="C38" s="19"/>
      <c r="D38" s="19"/>
      <c r="E38" s="19"/>
      <c r="F38" s="19"/>
      <c r="G38" s="19"/>
      <c r="H38" s="19"/>
      <c r="I38" s="19"/>
      <c r="J38" s="19"/>
      <c r="K38" s="19"/>
      <c r="L38" s="19"/>
      <c r="M38" s="19"/>
      <c r="N38" s="19"/>
      <c r="O38" s="19"/>
      <c r="P38" s="19"/>
      <c r="Q38" s="19"/>
      <c r="R38" s="19"/>
      <c r="S38" s="19"/>
      <c r="T38" s="19"/>
      <c r="U38" s="19"/>
      <c r="V38" s="19"/>
      <c r="W38" s="19"/>
    </row>
    <row r="39" spans="1:23" ht="15" customHeight="1" x14ac:dyDescent="0.35"/>
    <row r="40" spans="1:23" ht="15" customHeight="1" x14ac:dyDescent="0.35"/>
    <row r="41" spans="1:23" ht="15" customHeight="1" x14ac:dyDescent="0.35"/>
    <row r="42" spans="1:23" ht="15" customHeight="1" x14ac:dyDescent="0.35"/>
    <row r="43" spans="1:23" ht="15" customHeight="1" x14ac:dyDescent="0.35"/>
    <row r="44" spans="1:23" ht="15" customHeight="1" x14ac:dyDescent="0.35"/>
    <row r="45" spans="1:23" ht="15" customHeight="1" x14ac:dyDescent="0.35"/>
    <row r="46" spans="1:23" ht="15" customHeight="1" x14ac:dyDescent="0.35"/>
    <row r="47" spans="1:23" ht="15" customHeight="1" x14ac:dyDescent="0.35"/>
    <row r="48" spans="1:23"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2"/>
  <sheetViews>
    <sheetView showGridLines="0" zoomScale="70" zoomScaleNormal="70" workbookViewId="0">
      <selection activeCell="N53" sqref="N53"/>
    </sheetView>
  </sheetViews>
  <sheetFormatPr defaultColWidth="12.640625" defaultRowHeight="12.75" outlineLevelRow="1" x14ac:dyDescent="0.35"/>
  <cols>
    <col min="1" max="1" width="76.0703125" style="16" customWidth="1"/>
    <col min="2" max="12" width="12.640625" style="15" customWidth="1"/>
    <col min="13" max="16384" width="12.640625" style="15"/>
  </cols>
  <sheetData>
    <row r="1" spans="1:23" ht="13.15" x14ac:dyDescent="0.4">
      <c r="A1" s="23" t="s">
        <v>172</v>
      </c>
      <c r="S1" s="142"/>
    </row>
    <row r="2" spans="1:23" x14ac:dyDescent="0.35">
      <c r="A2" s="24" t="s">
        <v>169</v>
      </c>
      <c r="R2" s="142"/>
    </row>
    <row r="3" spans="1:23" s="2" customFormat="1" ht="21" customHeight="1" x14ac:dyDescent="0.4">
      <c r="A3" s="24"/>
      <c r="B3" s="91" t="s">
        <v>159</v>
      </c>
      <c r="C3" s="91" t="s">
        <v>162</v>
      </c>
      <c r="D3" s="91" t="s">
        <v>161</v>
      </c>
      <c r="E3" s="91" t="s">
        <v>160</v>
      </c>
      <c r="F3" s="30" t="s">
        <v>158</v>
      </c>
      <c r="G3" s="91" t="s">
        <v>157</v>
      </c>
      <c r="H3" s="91" t="s">
        <v>156</v>
      </c>
      <c r="I3" s="91" t="s">
        <v>155</v>
      </c>
      <c r="J3" s="91" t="s">
        <v>151</v>
      </c>
      <c r="K3" s="30" t="s">
        <v>150</v>
      </c>
      <c r="L3" s="91" t="s">
        <v>147</v>
      </c>
      <c r="M3" s="91" t="s">
        <v>153</v>
      </c>
      <c r="N3" s="91" t="s">
        <v>154</v>
      </c>
      <c r="O3" s="91" t="s">
        <v>152</v>
      </c>
      <c r="P3" s="30" t="s">
        <v>149</v>
      </c>
      <c r="Q3" s="91" t="s">
        <v>146</v>
      </c>
      <c r="R3" s="91" t="s">
        <v>213</v>
      </c>
      <c r="S3" s="91" t="s">
        <v>216</v>
      </c>
      <c r="T3" s="91" t="s">
        <v>220</v>
      </c>
      <c r="U3" s="30" t="s">
        <v>221</v>
      </c>
      <c r="V3" s="91" t="s">
        <v>227</v>
      </c>
      <c r="W3" s="91" t="s">
        <v>235</v>
      </c>
    </row>
    <row r="4" spans="1:23" s="2" customFormat="1" ht="15" customHeight="1" x14ac:dyDescent="0.4">
      <c r="A4" s="25" t="s">
        <v>63</v>
      </c>
      <c r="B4" s="86">
        <f>'P&amp;L'!B22</f>
        <v>13617</v>
      </c>
      <c r="C4" s="86">
        <f>'P&amp;L'!C22</f>
        <v>3929</v>
      </c>
      <c r="D4" s="86">
        <f>'P&amp;L'!D22</f>
        <v>5793</v>
      </c>
      <c r="E4" s="86">
        <f>'P&amp;L'!E22</f>
        <v>38938</v>
      </c>
      <c r="F4" s="21">
        <f>'P&amp;L'!F22</f>
        <v>62276</v>
      </c>
      <c r="G4" s="86">
        <f>'P&amp;L'!G22</f>
        <v>18527</v>
      </c>
      <c r="H4" s="86">
        <f>'P&amp;L'!H22</f>
        <v>13339</v>
      </c>
      <c r="I4" s="86">
        <f>'P&amp;L'!I22</f>
        <v>14724</v>
      </c>
      <c r="J4" s="86">
        <f>'P&amp;L'!J22</f>
        <v>40740</v>
      </c>
      <c r="K4" s="21">
        <f>'P&amp;L'!K22</f>
        <v>87329</v>
      </c>
      <c r="L4" s="86">
        <f>'P&amp;L'!L22</f>
        <v>14518</v>
      </c>
      <c r="M4" s="86">
        <f>'P&amp;L'!M22</f>
        <v>7505</v>
      </c>
      <c r="N4" s="86">
        <f>'P&amp;L'!N22</f>
        <v>22269</v>
      </c>
      <c r="O4" s="86">
        <f>'P&amp;L'!O22</f>
        <v>52368</v>
      </c>
      <c r="P4" s="21">
        <f>'P&amp;L'!P22</f>
        <v>96659</v>
      </c>
      <c r="Q4" s="86">
        <f>'P&amp;L'!Q22</f>
        <v>21090</v>
      </c>
      <c r="R4" s="86">
        <f>'P&amp;L'!R22</f>
        <v>14707</v>
      </c>
      <c r="S4" s="86">
        <f>'P&amp;L'!S22</f>
        <v>17948</v>
      </c>
      <c r="T4" s="86">
        <f>'P&amp;L'!T22</f>
        <v>42134</v>
      </c>
      <c r="U4" s="21">
        <f>'P&amp;L'!U22</f>
        <v>95879</v>
      </c>
      <c r="V4" s="86">
        <f>'P&amp;L'!V22</f>
        <v>21401</v>
      </c>
      <c r="W4" s="86">
        <f>'P&amp;L'!W22</f>
        <v>12537</v>
      </c>
    </row>
    <row r="5" spans="1:23" s="2" customFormat="1" ht="15" customHeight="1" x14ac:dyDescent="0.35">
      <c r="A5" s="24" t="s">
        <v>64</v>
      </c>
      <c r="B5" s="69">
        <f t="shared" ref="B5:Q5" si="0">SUM(B6:B10,B13,B14)</f>
        <v>18485</v>
      </c>
      <c r="C5" s="69">
        <f t="shared" si="0"/>
        <v>12134</v>
      </c>
      <c r="D5" s="69">
        <f t="shared" si="0"/>
        <v>18827</v>
      </c>
      <c r="E5" s="69">
        <f t="shared" si="0"/>
        <v>10196</v>
      </c>
      <c r="F5" s="81">
        <f t="shared" si="0"/>
        <v>59643</v>
      </c>
      <c r="G5" s="69">
        <f t="shared" si="0"/>
        <v>17520.430706248</v>
      </c>
      <c r="H5" s="69">
        <f t="shared" si="0"/>
        <v>16232</v>
      </c>
      <c r="I5" s="69">
        <f t="shared" si="0"/>
        <v>24331</v>
      </c>
      <c r="J5" s="69">
        <f t="shared" si="0"/>
        <v>37518</v>
      </c>
      <c r="K5" s="81">
        <f t="shared" si="0"/>
        <v>95600</v>
      </c>
      <c r="L5" s="69">
        <f t="shared" si="0"/>
        <v>29790</v>
      </c>
      <c r="M5" s="69">
        <f t="shared" si="0"/>
        <v>27126</v>
      </c>
      <c r="N5" s="69">
        <f t="shared" si="0"/>
        <v>51830</v>
      </c>
      <c r="O5" s="69">
        <f t="shared" si="0"/>
        <v>47147</v>
      </c>
      <c r="P5" s="81">
        <f t="shared" si="0"/>
        <v>155894</v>
      </c>
      <c r="Q5" s="69">
        <f t="shared" si="0"/>
        <v>39750</v>
      </c>
      <c r="R5" s="69">
        <f>SUM(R6:R10,R13,R14)</f>
        <v>35677</v>
      </c>
      <c r="S5" s="69">
        <f t="shared" ref="S5:W5" si="1">SUM(S6:S10,S13,S14)</f>
        <v>28379</v>
      </c>
      <c r="T5" s="69">
        <f t="shared" si="1"/>
        <v>50628</v>
      </c>
      <c r="U5" s="81">
        <f t="shared" si="1"/>
        <v>154436</v>
      </c>
      <c r="V5" s="69">
        <f t="shared" si="1"/>
        <v>24998</v>
      </c>
      <c r="W5" s="69">
        <f t="shared" si="1"/>
        <v>28961</v>
      </c>
    </row>
    <row r="6" spans="1:23" s="2" customFormat="1" ht="15" customHeight="1" x14ac:dyDescent="0.35">
      <c r="A6" s="24" t="s">
        <v>65</v>
      </c>
      <c r="B6" s="87">
        <v>8262</v>
      </c>
      <c r="C6" s="87">
        <v>10938</v>
      </c>
      <c r="D6" s="87">
        <v>13236</v>
      </c>
      <c r="E6" s="87">
        <v>14648</v>
      </c>
      <c r="F6" s="92">
        <v>47085</v>
      </c>
      <c r="G6" s="87">
        <v>13180</v>
      </c>
      <c r="H6" s="87">
        <f>16346-1</f>
        <v>16345</v>
      </c>
      <c r="I6" s="87">
        <v>16030</v>
      </c>
      <c r="J6" s="87">
        <v>17178</v>
      </c>
      <c r="K6" s="92">
        <v>62733</v>
      </c>
      <c r="L6" s="87">
        <v>22316</v>
      </c>
      <c r="M6" s="87">
        <v>24376</v>
      </c>
      <c r="N6" s="87">
        <v>25990</v>
      </c>
      <c r="O6" s="87">
        <v>31344</v>
      </c>
      <c r="P6" s="92">
        <v>104025</v>
      </c>
      <c r="Q6" s="87">
        <v>26050</v>
      </c>
      <c r="R6" s="87">
        <v>25099</v>
      </c>
      <c r="S6" s="87">
        <v>27891</v>
      </c>
      <c r="T6" s="87">
        <v>32785</v>
      </c>
      <c r="U6" s="92">
        <v>111825</v>
      </c>
      <c r="V6" s="87">
        <v>19644</v>
      </c>
      <c r="W6" s="87">
        <v>18282</v>
      </c>
    </row>
    <row r="7" spans="1:23" s="2" customFormat="1" ht="15" customHeight="1" x14ac:dyDescent="0.35">
      <c r="A7" s="26" t="s">
        <v>195</v>
      </c>
      <c r="B7" s="66">
        <v>6318</v>
      </c>
      <c r="C7" s="66">
        <v>5325</v>
      </c>
      <c r="D7" s="66">
        <v>4600</v>
      </c>
      <c r="E7" s="66">
        <v>7748</v>
      </c>
      <c r="F7" s="77">
        <v>23989</v>
      </c>
      <c r="G7" s="66">
        <f>8369.430706248+1</f>
        <v>8370.4307062480002</v>
      </c>
      <c r="H7" s="66">
        <v>7695</v>
      </c>
      <c r="I7" s="66">
        <v>13965</v>
      </c>
      <c r="J7" s="66">
        <v>13229</v>
      </c>
      <c r="K7" s="77">
        <v>43259</v>
      </c>
      <c r="L7" s="66">
        <v>14940</v>
      </c>
      <c r="M7" s="66">
        <v>14918</v>
      </c>
      <c r="N7" s="66">
        <v>22028</v>
      </c>
      <c r="O7" s="66">
        <v>19725</v>
      </c>
      <c r="P7" s="77">
        <v>71612</v>
      </c>
      <c r="Q7" s="66">
        <v>18829</v>
      </c>
      <c r="R7" s="66">
        <v>20242</v>
      </c>
      <c r="S7" s="66">
        <v>17262</v>
      </c>
      <c r="T7" s="66">
        <v>10267</v>
      </c>
      <c r="U7" s="77">
        <v>66600</v>
      </c>
      <c r="V7" s="66">
        <v>13882</v>
      </c>
      <c r="W7" s="66">
        <v>11713</v>
      </c>
    </row>
    <row r="8" spans="1:23" s="2" customFormat="1" ht="15" customHeight="1" x14ac:dyDescent="0.35">
      <c r="A8" s="27" t="s">
        <v>66</v>
      </c>
      <c r="B8" s="66">
        <v>3</v>
      </c>
      <c r="C8" s="66">
        <v>22</v>
      </c>
      <c r="D8" s="66">
        <v>59</v>
      </c>
      <c r="E8" s="66">
        <v>-2212</v>
      </c>
      <c r="F8" s="77">
        <v>-2127</v>
      </c>
      <c r="G8" s="66">
        <v>0</v>
      </c>
      <c r="H8" s="66">
        <v>0</v>
      </c>
      <c r="I8" s="66">
        <v>0</v>
      </c>
      <c r="J8" s="66">
        <v>-82</v>
      </c>
      <c r="K8" s="77">
        <v>-81</v>
      </c>
      <c r="L8" s="66">
        <v>0</v>
      </c>
      <c r="M8" s="66">
        <v>0</v>
      </c>
      <c r="N8" s="66">
        <v>0</v>
      </c>
      <c r="O8" s="66">
        <v>794</v>
      </c>
      <c r="P8" s="77">
        <v>794</v>
      </c>
      <c r="Q8" s="66">
        <v>0</v>
      </c>
      <c r="R8" s="66">
        <v>0</v>
      </c>
      <c r="S8" s="66">
        <v>0</v>
      </c>
      <c r="T8" s="66">
        <v>-869</v>
      </c>
      <c r="U8" s="77">
        <v>-869</v>
      </c>
      <c r="V8" s="66">
        <v>0</v>
      </c>
      <c r="W8" s="66">
        <v>0</v>
      </c>
    </row>
    <row r="9" spans="1:23" s="2" customFormat="1" ht="15" customHeight="1" x14ac:dyDescent="0.35">
      <c r="A9" s="27" t="s">
        <v>67</v>
      </c>
      <c r="B9" s="66">
        <f>2+153</f>
        <v>155</v>
      </c>
      <c r="C9" s="66">
        <f>2+(-6)</f>
        <v>-4</v>
      </c>
      <c r="D9" s="66">
        <f>2+-(130)</f>
        <v>-128</v>
      </c>
      <c r="E9" s="66">
        <f>-3+5</f>
        <v>2</v>
      </c>
      <c r="F9" s="77">
        <f>6+22</f>
        <v>28</v>
      </c>
      <c r="G9" s="66">
        <f>2+10</f>
        <v>12</v>
      </c>
      <c r="H9" s="66">
        <f>1578+8</f>
        <v>1586</v>
      </c>
      <c r="I9" s="66">
        <v>-960</v>
      </c>
      <c r="J9" s="66">
        <f>-606+8</f>
        <v>-598</v>
      </c>
      <c r="K9" s="77">
        <v>39</v>
      </c>
      <c r="L9" s="66">
        <v>16</v>
      </c>
      <c r="M9" s="66">
        <v>15</v>
      </c>
      <c r="N9" s="66">
        <f>-43+18</f>
        <v>-25</v>
      </c>
      <c r="O9" s="66">
        <v>59</v>
      </c>
      <c r="P9" s="77">
        <v>66</v>
      </c>
      <c r="Q9" s="66">
        <v>23</v>
      </c>
      <c r="R9" s="66">
        <v>21</v>
      </c>
      <c r="S9" s="66">
        <v>20</v>
      </c>
      <c r="T9" s="66">
        <v>20</v>
      </c>
      <c r="U9" s="77">
        <v>86</v>
      </c>
      <c r="V9" s="66">
        <v>30</v>
      </c>
      <c r="W9" s="66">
        <v>58</v>
      </c>
    </row>
    <row r="10" spans="1:23" s="2" customFormat="1" ht="15" customHeight="1" x14ac:dyDescent="0.35">
      <c r="A10" s="24" t="s">
        <v>68</v>
      </c>
      <c r="B10" s="66">
        <v>31</v>
      </c>
      <c r="C10" s="66">
        <v>-2200</v>
      </c>
      <c r="D10" s="66">
        <v>-979</v>
      </c>
      <c r="E10" s="66">
        <v>-12599</v>
      </c>
      <c r="F10" s="77">
        <v>-15748</v>
      </c>
      <c r="G10" s="66">
        <v>-1138</v>
      </c>
      <c r="H10" s="66">
        <f>-3286+1</f>
        <v>-3285</v>
      </c>
      <c r="I10" s="66">
        <v>-3121</v>
      </c>
      <c r="J10" s="66">
        <v>-2478</v>
      </c>
      <c r="K10" s="77">
        <v>-10024</v>
      </c>
      <c r="L10" s="66">
        <v>-6870</v>
      </c>
      <c r="M10" s="66">
        <v>-5536</v>
      </c>
      <c r="N10" s="66">
        <v>-8164</v>
      </c>
      <c r="O10" s="66">
        <v>7300</v>
      </c>
      <c r="P10" s="77">
        <v>-13269</v>
      </c>
      <c r="Q10" s="66">
        <v>-3146</v>
      </c>
      <c r="R10" s="66">
        <v>-4389</v>
      </c>
      <c r="S10" s="66">
        <v>-1806</v>
      </c>
      <c r="T10" s="66">
        <v>1184</v>
      </c>
      <c r="U10" s="77">
        <v>-8157</v>
      </c>
      <c r="V10" s="66">
        <v>-5916</v>
      </c>
      <c r="W10" s="66">
        <v>7252</v>
      </c>
    </row>
    <row r="11" spans="1:23" s="2" customFormat="1" ht="15" hidden="1" customHeight="1" outlineLevel="1" x14ac:dyDescent="0.35">
      <c r="A11" s="24" t="s">
        <v>237</v>
      </c>
      <c r="B11" s="66">
        <v>7113</v>
      </c>
      <c r="C11" s="66">
        <v>3565</v>
      </c>
      <c r="D11" s="66">
        <v>6367</v>
      </c>
      <c r="E11" s="66">
        <v>8177</v>
      </c>
      <c r="F11" s="77">
        <v>25221</v>
      </c>
      <c r="G11" s="66">
        <v>9082</v>
      </c>
      <c r="H11" s="66">
        <v>7780</v>
      </c>
      <c r="I11" s="66">
        <v>10695</v>
      </c>
      <c r="J11" s="66">
        <v>15639</v>
      </c>
      <c r="K11" s="77">
        <v>43196</v>
      </c>
      <c r="L11" s="66">
        <v>11071</v>
      </c>
      <c r="M11" s="66">
        <v>9201</v>
      </c>
      <c r="N11" s="66">
        <v>16022</v>
      </c>
      <c r="O11" s="66">
        <v>8628</v>
      </c>
      <c r="P11" s="77">
        <v>44921</v>
      </c>
      <c r="Q11" s="66">
        <v>15532</v>
      </c>
      <c r="R11" s="66">
        <v>13028</v>
      </c>
      <c r="S11" s="66">
        <v>8626</v>
      </c>
      <c r="T11" s="66">
        <v>17115</v>
      </c>
      <c r="U11" s="77">
        <v>54301</v>
      </c>
      <c r="V11" s="66">
        <v>15934</v>
      </c>
      <c r="W11" s="66"/>
    </row>
    <row r="12" spans="1:23" s="2" customFormat="1" ht="15" hidden="1" customHeight="1" outlineLevel="1" x14ac:dyDescent="0.35">
      <c r="A12" s="24" t="s">
        <v>73</v>
      </c>
      <c r="B12" s="88">
        <v>-3397</v>
      </c>
      <c r="C12" s="88">
        <v>-5512</v>
      </c>
      <c r="D12" s="88">
        <v>-4328</v>
      </c>
      <c r="E12" s="88">
        <v>-5568</v>
      </c>
      <c r="F12" s="121">
        <f>SUM(B12:E12)</f>
        <v>-18805</v>
      </c>
      <c r="G12" s="88">
        <v>-11986</v>
      </c>
      <c r="H12" s="88">
        <v>-13889</v>
      </c>
      <c r="I12" s="88">
        <v>-12278</v>
      </c>
      <c r="J12" s="88">
        <v>-5370</v>
      </c>
      <c r="K12" s="121">
        <f>SUM(G12:J12)+1</f>
        <v>-43522</v>
      </c>
      <c r="L12" s="88">
        <v>-11683</v>
      </c>
      <c r="M12" s="88">
        <v>-15848</v>
      </c>
      <c r="N12" s="88">
        <v>-10165</v>
      </c>
      <c r="O12" s="88">
        <v>-18664</v>
      </c>
      <c r="P12" s="121">
        <f>SUM(L12:O12)</f>
        <v>-56360</v>
      </c>
      <c r="Q12" s="88">
        <v>-14216</v>
      </c>
      <c r="R12" s="88">
        <v>-18344</v>
      </c>
      <c r="S12" s="88">
        <v>-23614</v>
      </c>
      <c r="T12" s="88">
        <v>-10871</v>
      </c>
      <c r="U12" s="121">
        <f>SUM(Q12:T12)</f>
        <v>-67045</v>
      </c>
      <c r="V12" s="88">
        <v>-17868</v>
      </c>
      <c r="W12" s="88"/>
    </row>
    <row r="13" spans="1:23" s="56" customFormat="1" ht="15" customHeight="1" collapsed="1" x14ac:dyDescent="0.35">
      <c r="A13" s="167" t="s">
        <v>236</v>
      </c>
      <c r="B13" s="120">
        <f t="shared" ref="B13:Q13" si="2">SUM(B11:B12)</f>
        <v>3716</v>
      </c>
      <c r="C13" s="120">
        <f t="shared" si="2"/>
        <v>-1947</v>
      </c>
      <c r="D13" s="120">
        <f t="shared" si="2"/>
        <v>2039</v>
      </c>
      <c r="E13" s="120">
        <f t="shared" si="2"/>
        <v>2609</v>
      </c>
      <c r="F13" s="121">
        <f t="shared" si="2"/>
        <v>6416</v>
      </c>
      <c r="G13" s="120">
        <f t="shared" si="2"/>
        <v>-2904</v>
      </c>
      <c r="H13" s="120">
        <f t="shared" si="2"/>
        <v>-6109</v>
      </c>
      <c r="I13" s="120">
        <f t="shared" si="2"/>
        <v>-1583</v>
      </c>
      <c r="J13" s="120">
        <f t="shared" si="2"/>
        <v>10269</v>
      </c>
      <c r="K13" s="121">
        <f t="shared" si="2"/>
        <v>-326</v>
      </c>
      <c r="L13" s="120">
        <f t="shared" si="2"/>
        <v>-612</v>
      </c>
      <c r="M13" s="120">
        <f t="shared" si="2"/>
        <v>-6647</v>
      </c>
      <c r="N13" s="120">
        <f t="shared" si="2"/>
        <v>5857</v>
      </c>
      <c r="O13" s="120">
        <f t="shared" si="2"/>
        <v>-10036</v>
      </c>
      <c r="P13" s="121">
        <f t="shared" si="2"/>
        <v>-11439</v>
      </c>
      <c r="Q13" s="120">
        <f t="shared" si="2"/>
        <v>1316</v>
      </c>
      <c r="R13" s="120">
        <f>SUM(R11:R12)</f>
        <v>-5316</v>
      </c>
      <c r="S13" s="120">
        <f t="shared" ref="S13" si="3">SUM(S11:S12)</f>
        <v>-14988</v>
      </c>
      <c r="T13" s="120">
        <f t="shared" ref="T13" si="4">SUM(T11:T12)</f>
        <v>6244</v>
      </c>
      <c r="U13" s="121">
        <f t="shared" ref="U13" si="5">SUM(U11:U12)</f>
        <v>-12744</v>
      </c>
      <c r="V13" s="120">
        <f t="shared" ref="V13" si="6">SUM(V11:V12)</f>
        <v>-1934</v>
      </c>
      <c r="W13" s="88">
        <v>-8696</v>
      </c>
    </row>
    <row r="14" spans="1:23" s="2" customFormat="1" ht="15" customHeight="1" x14ac:dyDescent="0.35">
      <c r="A14" s="141" t="s">
        <v>208</v>
      </c>
      <c r="B14" s="66">
        <v>0</v>
      </c>
      <c r="C14" s="66">
        <v>0</v>
      </c>
      <c r="D14" s="66">
        <v>0</v>
      </c>
      <c r="E14" s="66">
        <v>0</v>
      </c>
      <c r="F14" s="77"/>
      <c r="G14" s="66">
        <v>0</v>
      </c>
      <c r="H14" s="66">
        <v>0</v>
      </c>
      <c r="I14" s="66">
        <v>0</v>
      </c>
      <c r="J14" s="66">
        <v>0</v>
      </c>
      <c r="K14" s="77">
        <v>0</v>
      </c>
      <c r="L14" s="66">
        <v>0</v>
      </c>
      <c r="M14" s="66">
        <v>0</v>
      </c>
      <c r="N14" s="66">
        <v>6144</v>
      </c>
      <c r="O14" s="66">
        <v>-2039</v>
      </c>
      <c r="P14" s="77">
        <v>4105</v>
      </c>
      <c r="Q14" s="66">
        <f>-2306-1016</f>
        <v>-3322</v>
      </c>
      <c r="R14" s="66">
        <v>20</v>
      </c>
      <c r="S14" s="66">
        <v>0</v>
      </c>
      <c r="T14" s="66">
        <v>997</v>
      </c>
      <c r="U14" s="77">
        <v>-2305</v>
      </c>
      <c r="V14" s="66">
        <v>-708</v>
      </c>
      <c r="W14" s="66">
        <v>352</v>
      </c>
    </row>
    <row r="15" spans="1:23" s="2" customFormat="1" ht="15" customHeight="1" x14ac:dyDescent="0.35">
      <c r="A15" s="24" t="s">
        <v>69</v>
      </c>
      <c r="B15" s="69">
        <f t="shared" ref="B15:V15" si="7">SUM(B16:B20)</f>
        <v>8905</v>
      </c>
      <c r="C15" s="69">
        <f t="shared" si="7"/>
        <v>-4125</v>
      </c>
      <c r="D15" s="69">
        <f t="shared" si="7"/>
        <v>-7120</v>
      </c>
      <c r="E15" s="69">
        <f t="shared" si="7"/>
        <v>17572</v>
      </c>
      <c r="F15" s="81">
        <f t="shared" si="7"/>
        <v>15231</v>
      </c>
      <c r="G15" s="69">
        <f t="shared" si="7"/>
        <v>-17140</v>
      </c>
      <c r="H15" s="69">
        <f t="shared" si="7"/>
        <v>-10297</v>
      </c>
      <c r="I15" s="69">
        <f t="shared" si="7"/>
        <v>4576</v>
      </c>
      <c r="J15" s="69">
        <f t="shared" si="7"/>
        <v>-6600</v>
      </c>
      <c r="K15" s="81">
        <f t="shared" si="7"/>
        <v>-29460</v>
      </c>
      <c r="L15" s="69">
        <f t="shared" si="7"/>
        <v>-70</v>
      </c>
      <c r="M15" s="69">
        <f t="shared" si="7"/>
        <v>25860</v>
      </c>
      <c r="N15" s="69">
        <f t="shared" si="7"/>
        <v>-12372</v>
      </c>
      <c r="O15" s="69">
        <f t="shared" si="7"/>
        <v>-20513</v>
      </c>
      <c r="P15" s="81">
        <f t="shared" si="7"/>
        <v>-7095</v>
      </c>
      <c r="Q15" s="69">
        <f t="shared" si="7"/>
        <v>23687</v>
      </c>
      <c r="R15" s="69">
        <f t="shared" si="7"/>
        <v>-10043</v>
      </c>
      <c r="S15" s="69">
        <f t="shared" si="7"/>
        <v>3929</v>
      </c>
      <c r="T15" s="69">
        <f t="shared" si="7"/>
        <v>-7162</v>
      </c>
      <c r="U15" s="81">
        <f t="shared" si="7"/>
        <v>10411</v>
      </c>
      <c r="V15" s="69">
        <f t="shared" si="7"/>
        <v>20821</v>
      </c>
      <c r="W15" s="69">
        <f>SUM(W16:W20)</f>
        <v>11466</v>
      </c>
    </row>
    <row r="16" spans="1:23" s="2" customFormat="1" ht="15" customHeight="1" x14ac:dyDescent="0.35">
      <c r="A16" s="24" t="s">
        <v>70</v>
      </c>
      <c r="B16" s="87">
        <v>-9421</v>
      </c>
      <c r="C16" s="66">
        <v>-3218</v>
      </c>
      <c r="D16" s="87">
        <v>-14795</v>
      </c>
      <c r="E16" s="87">
        <v>-55986</v>
      </c>
      <c r="F16" s="92">
        <v>-83420</v>
      </c>
      <c r="G16" s="87">
        <v>4758</v>
      </c>
      <c r="H16" s="87">
        <v>-7126</v>
      </c>
      <c r="I16" s="87">
        <v>-2160</v>
      </c>
      <c r="J16" s="87">
        <v>-113442</v>
      </c>
      <c r="K16" s="92">
        <v>-117970</v>
      </c>
      <c r="L16" s="87">
        <v>59569</v>
      </c>
      <c r="M16" s="87">
        <v>-23358</v>
      </c>
      <c r="N16" s="87">
        <v>-991</v>
      </c>
      <c r="O16" s="87">
        <v>-112127</v>
      </c>
      <c r="P16" s="92">
        <v>-76907</v>
      </c>
      <c r="Q16" s="87">
        <v>91292</v>
      </c>
      <c r="R16" s="87">
        <v>10154</v>
      </c>
      <c r="S16" s="87">
        <v>12931</v>
      </c>
      <c r="T16" s="87">
        <v>-113019</v>
      </c>
      <c r="U16" s="92">
        <v>1358</v>
      </c>
      <c r="V16" s="87">
        <v>86018</v>
      </c>
      <c r="W16" s="87">
        <v>19325</v>
      </c>
    </row>
    <row r="17" spans="1:25" s="2" customFormat="1" ht="15" customHeight="1" x14ac:dyDescent="0.35">
      <c r="A17" s="24" t="s">
        <v>71</v>
      </c>
      <c r="B17" s="66">
        <v>23937</v>
      </c>
      <c r="C17" s="66">
        <v>3682</v>
      </c>
      <c r="D17" s="66">
        <v>11899</v>
      </c>
      <c r="E17" s="66">
        <v>60529</v>
      </c>
      <c r="F17" s="77">
        <v>100047</v>
      </c>
      <c r="G17" s="66">
        <v>-13906</v>
      </c>
      <c r="H17" s="66">
        <v>-1244</v>
      </c>
      <c r="I17" s="66">
        <v>11218</v>
      </c>
      <c r="J17" s="66">
        <v>85793</v>
      </c>
      <c r="K17" s="77">
        <v>81862</v>
      </c>
      <c r="L17" s="66">
        <v>-75030</v>
      </c>
      <c r="M17" s="66">
        <v>48776</v>
      </c>
      <c r="N17" s="66">
        <v>-5031</v>
      </c>
      <c r="O17" s="66">
        <v>64199</v>
      </c>
      <c r="P17" s="77">
        <v>32915</v>
      </c>
      <c r="Q17" s="66">
        <v>-62945</v>
      </c>
      <c r="R17" s="66">
        <v>-26745</v>
      </c>
      <c r="S17" s="66">
        <v>13091</v>
      </c>
      <c r="T17" s="66">
        <v>85646</v>
      </c>
      <c r="U17" s="77">
        <v>9047</v>
      </c>
      <c r="V17" s="66">
        <v>-58485</v>
      </c>
      <c r="W17" s="66">
        <v>-14995</v>
      </c>
    </row>
    <row r="18" spans="1:25" s="2" customFormat="1" ht="15" customHeight="1" x14ac:dyDescent="0.35">
      <c r="A18" s="24" t="s">
        <v>72</v>
      </c>
      <c r="B18" s="66">
        <v>-10639</v>
      </c>
      <c r="C18" s="88">
        <v>-5243</v>
      </c>
      <c r="D18" s="66">
        <v>-8781</v>
      </c>
      <c r="E18" s="66">
        <v>563</v>
      </c>
      <c r="F18" s="77">
        <v>-24101</v>
      </c>
      <c r="G18" s="66">
        <v>-10368</v>
      </c>
      <c r="H18" s="66">
        <v>-5969</v>
      </c>
      <c r="I18" s="66">
        <v>-2856</v>
      </c>
      <c r="J18" s="66">
        <v>-9799</v>
      </c>
      <c r="K18" s="77">
        <v>-28432</v>
      </c>
      <c r="L18" s="66">
        <v>8253</v>
      </c>
      <c r="M18" s="66">
        <v>-3493</v>
      </c>
      <c r="N18" s="66">
        <v>4001</v>
      </c>
      <c r="O18" s="66">
        <v>-9962</v>
      </c>
      <c r="P18" s="77">
        <v>-3381</v>
      </c>
      <c r="Q18" s="66">
        <f>2672+5286</f>
        <v>7958</v>
      </c>
      <c r="R18" s="66">
        <v>5821</v>
      </c>
      <c r="S18" s="66">
        <v>-8229</v>
      </c>
      <c r="T18" s="66">
        <v>-1576</v>
      </c>
      <c r="U18" s="77">
        <v>3974</v>
      </c>
      <c r="V18" s="66">
        <v>-5992</v>
      </c>
      <c r="W18" s="66">
        <v>7504</v>
      </c>
    </row>
    <row r="19" spans="1:25" s="2" customFormat="1" ht="15" customHeight="1" x14ac:dyDescent="0.35">
      <c r="A19" s="141" t="s">
        <v>207</v>
      </c>
      <c r="B19" s="88">
        <v>5028</v>
      </c>
      <c r="C19" s="88">
        <v>654</v>
      </c>
      <c r="D19" s="88">
        <v>4557</v>
      </c>
      <c r="E19" s="88">
        <v>12466</v>
      </c>
      <c r="F19" s="156">
        <v>22705</v>
      </c>
      <c r="G19" s="88">
        <v>2376</v>
      </c>
      <c r="H19" s="88">
        <v>4042</v>
      </c>
      <c r="I19" s="88">
        <v>-1626</v>
      </c>
      <c r="J19" s="88">
        <v>30848</v>
      </c>
      <c r="K19" s="156">
        <v>35080</v>
      </c>
      <c r="L19" s="88">
        <v>7138</v>
      </c>
      <c r="M19" s="88">
        <f>3935</f>
        <v>3935</v>
      </c>
      <c r="N19" s="88">
        <f>-10353+2</f>
        <v>-10351</v>
      </c>
      <c r="O19" s="88">
        <v>37377</v>
      </c>
      <c r="P19" s="156">
        <v>40278</v>
      </c>
      <c r="Q19" s="88">
        <f>-8395-4223</f>
        <v>-12618</v>
      </c>
      <c r="R19" s="88">
        <v>727</v>
      </c>
      <c r="S19" s="88">
        <v>-13864</v>
      </c>
      <c r="T19" s="88">
        <v>21787</v>
      </c>
      <c r="U19" s="156">
        <v>-3968</v>
      </c>
      <c r="V19" s="88">
        <v>2436</v>
      </c>
      <c r="W19" s="88">
        <v>3015</v>
      </c>
    </row>
    <row r="20" spans="1:25" s="56" customFormat="1" ht="15" customHeight="1" x14ac:dyDescent="0.35">
      <c r="A20" s="141" t="s">
        <v>228</v>
      </c>
      <c r="B20" s="68"/>
      <c r="C20" s="68"/>
      <c r="D20" s="68"/>
      <c r="E20" s="68"/>
      <c r="F20" s="80"/>
      <c r="G20" s="68"/>
      <c r="H20" s="68"/>
      <c r="I20" s="68"/>
      <c r="J20" s="68"/>
      <c r="K20" s="80"/>
      <c r="L20" s="68"/>
      <c r="M20" s="68"/>
      <c r="N20" s="68"/>
      <c r="O20" s="68"/>
      <c r="P20" s="80"/>
      <c r="Q20" s="68"/>
      <c r="R20" s="68"/>
      <c r="S20" s="68"/>
      <c r="T20" s="68"/>
      <c r="U20" s="80"/>
      <c r="V20" s="68">
        <v>-3156</v>
      </c>
      <c r="W20" s="68">
        <v>-3383</v>
      </c>
    </row>
    <row r="21" spans="1:25" s="2" customFormat="1" ht="15" customHeight="1" x14ac:dyDescent="0.4">
      <c r="A21" s="25" t="s">
        <v>74</v>
      </c>
      <c r="B21" s="89">
        <f t="shared" ref="B21:V21" si="8">SUM(B4,B5,B15)</f>
        <v>41007</v>
      </c>
      <c r="C21" s="89">
        <f t="shared" si="8"/>
        <v>11938</v>
      </c>
      <c r="D21" s="89">
        <f t="shared" si="8"/>
        <v>17500</v>
      </c>
      <c r="E21" s="89">
        <f t="shared" si="8"/>
        <v>66706</v>
      </c>
      <c r="F21" s="93">
        <f t="shared" si="8"/>
        <v>137150</v>
      </c>
      <c r="G21" s="89">
        <f t="shared" si="8"/>
        <v>18907.430706248</v>
      </c>
      <c r="H21" s="69">
        <f t="shared" si="8"/>
        <v>19274</v>
      </c>
      <c r="I21" s="69">
        <f t="shared" si="8"/>
        <v>43631</v>
      </c>
      <c r="J21" s="69">
        <f t="shared" si="8"/>
        <v>71658</v>
      </c>
      <c r="K21" s="81">
        <f t="shared" si="8"/>
        <v>153469</v>
      </c>
      <c r="L21" s="69">
        <f t="shared" si="8"/>
        <v>44238</v>
      </c>
      <c r="M21" s="69">
        <f t="shared" si="8"/>
        <v>60491</v>
      </c>
      <c r="N21" s="69">
        <f t="shared" si="8"/>
        <v>61727</v>
      </c>
      <c r="O21" s="69">
        <f t="shared" si="8"/>
        <v>79002</v>
      </c>
      <c r="P21" s="81">
        <f t="shared" si="8"/>
        <v>245458</v>
      </c>
      <c r="Q21" s="69">
        <f t="shared" si="8"/>
        <v>84527</v>
      </c>
      <c r="R21" s="69">
        <f t="shared" si="8"/>
        <v>40341</v>
      </c>
      <c r="S21" s="69">
        <f t="shared" si="8"/>
        <v>50256</v>
      </c>
      <c r="T21" s="69">
        <f t="shared" si="8"/>
        <v>85600</v>
      </c>
      <c r="U21" s="81">
        <f t="shared" si="8"/>
        <v>260726</v>
      </c>
      <c r="V21" s="69">
        <f t="shared" si="8"/>
        <v>67220</v>
      </c>
      <c r="W21" s="69">
        <f>SUM(W4,W5,W15)</f>
        <v>52964</v>
      </c>
    </row>
    <row r="22" spans="1:25" s="2" customFormat="1" ht="15" customHeight="1" x14ac:dyDescent="0.35">
      <c r="A22" s="24" t="s">
        <v>75</v>
      </c>
      <c r="B22" s="87">
        <v>-11528</v>
      </c>
      <c r="C22" s="87">
        <v>-29630</v>
      </c>
      <c r="D22" s="87">
        <v>-21514</v>
      </c>
      <c r="E22" s="87">
        <v>-12936</v>
      </c>
      <c r="F22" s="92">
        <v>-75607</v>
      </c>
      <c r="G22" s="87">
        <v>-13615</v>
      </c>
      <c r="H22" s="87">
        <v>-25564</v>
      </c>
      <c r="I22" s="87">
        <v>-15792</v>
      </c>
      <c r="J22" s="87">
        <v>-30163</v>
      </c>
      <c r="K22" s="92">
        <v>-85133</v>
      </c>
      <c r="L22" s="87">
        <v>-23267</v>
      </c>
      <c r="M22" s="87">
        <v>-30008</v>
      </c>
      <c r="N22" s="87">
        <v>-20999</v>
      </c>
      <c r="O22" s="87">
        <v>-47928</v>
      </c>
      <c r="P22" s="92">
        <v>-122203</v>
      </c>
      <c r="Q22" s="87">
        <v>-7413</v>
      </c>
      <c r="R22" s="87">
        <v>-18880</v>
      </c>
      <c r="S22" s="87">
        <v>-60627</v>
      </c>
      <c r="T22" s="87">
        <v>-30064</v>
      </c>
      <c r="U22" s="112">
        <f>SUM(Q22:T22)</f>
        <v>-116984</v>
      </c>
      <c r="V22" s="87">
        <v>-13292</v>
      </c>
      <c r="W22" s="87">
        <v>-28812</v>
      </c>
    </row>
    <row r="23" spans="1:25" s="2" customFormat="1" ht="15" customHeight="1" x14ac:dyDescent="0.35">
      <c r="A23" s="24" t="s">
        <v>76</v>
      </c>
      <c r="B23" s="66">
        <v>-1334</v>
      </c>
      <c r="C23" s="66">
        <v>11282</v>
      </c>
      <c r="D23" s="66">
        <v>-2551</v>
      </c>
      <c r="E23" s="66">
        <v>-6269</v>
      </c>
      <c r="F23" s="77">
        <v>1128</v>
      </c>
      <c r="G23" s="66">
        <v>1507</v>
      </c>
      <c r="H23" s="66">
        <v>3178</v>
      </c>
      <c r="I23" s="66">
        <v>-4115</v>
      </c>
      <c r="J23" s="66">
        <v>7182</v>
      </c>
      <c r="K23" s="77">
        <v>7752</v>
      </c>
      <c r="L23" s="66">
        <v>-4939</v>
      </c>
      <c r="M23" s="66">
        <v>2953</v>
      </c>
      <c r="N23" s="66">
        <v>-6774</v>
      </c>
      <c r="O23" s="66">
        <v>22452</v>
      </c>
      <c r="P23" s="77">
        <v>13692</v>
      </c>
      <c r="Q23" s="66">
        <v>-25154</v>
      </c>
      <c r="R23" s="66">
        <v>1033</v>
      </c>
      <c r="S23" s="66">
        <v>30971</v>
      </c>
      <c r="T23" s="66">
        <v>-15344</v>
      </c>
      <c r="U23" s="76">
        <f>SUM(Q23:T23)</f>
        <v>-8494</v>
      </c>
      <c r="V23" s="66">
        <v>-10392</v>
      </c>
      <c r="W23" s="66">
        <v>-3980</v>
      </c>
    </row>
    <row r="24" spans="1:25" s="2" customFormat="1" ht="15" customHeight="1" x14ac:dyDescent="0.35">
      <c r="A24" s="27" t="s">
        <v>230</v>
      </c>
      <c r="B24" s="66">
        <v>-17209</v>
      </c>
      <c r="C24" s="66">
        <v>-2867</v>
      </c>
      <c r="D24" s="66">
        <v>-476</v>
      </c>
      <c r="E24" s="66">
        <v>10</v>
      </c>
      <c r="F24" s="77">
        <v>-20542</v>
      </c>
      <c r="G24" s="66">
        <v>0</v>
      </c>
      <c r="H24" s="66">
        <v>-5074</v>
      </c>
      <c r="I24" s="66">
        <v>0</v>
      </c>
      <c r="J24" s="66">
        <v>-230467</v>
      </c>
      <c r="K24" s="77">
        <v>-235541</v>
      </c>
      <c r="L24" s="66">
        <v>0</v>
      </c>
      <c r="M24" s="66">
        <v>1089</v>
      </c>
      <c r="N24" s="66">
        <v>73</v>
      </c>
      <c r="O24" s="66">
        <v>-15</v>
      </c>
      <c r="P24" s="77">
        <v>1110</v>
      </c>
      <c r="Q24" s="66">
        <v>-10811</v>
      </c>
      <c r="R24" s="66">
        <v>0</v>
      </c>
      <c r="S24" s="66">
        <v>-38100</v>
      </c>
      <c r="T24" s="66">
        <v>-52269</v>
      </c>
      <c r="U24" s="76">
        <f>SUM(Q24:T24)</f>
        <v>-101180</v>
      </c>
      <c r="V24" s="66">
        <v>-5325</v>
      </c>
      <c r="W24" s="66">
        <v>637</v>
      </c>
    </row>
    <row r="25" spans="1:25" s="2" customFormat="1" ht="15" customHeight="1" x14ac:dyDescent="0.35">
      <c r="A25" s="27" t="s">
        <v>77</v>
      </c>
      <c r="B25" s="68">
        <v>-3751</v>
      </c>
      <c r="C25" s="68">
        <v>-1492</v>
      </c>
      <c r="D25" s="68">
        <v>-1049</v>
      </c>
      <c r="E25" s="68">
        <v>-320</v>
      </c>
      <c r="F25" s="80">
        <v>-6612</v>
      </c>
      <c r="G25" s="68">
        <v>781</v>
      </c>
      <c r="H25" s="68">
        <v>-207</v>
      </c>
      <c r="I25" s="68">
        <v>-377</v>
      </c>
      <c r="J25" s="68">
        <v>-38</v>
      </c>
      <c r="K25" s="80">
        <v>159</v>
      </c>
      <c r="L25" s="68">
        <v>-431</v>
      </c>
      <c r="M25" s="68">
        <v>1668</v>
      </c>
      <c r="N25" s="68">
        <v>-157</v>
      </c>
      <c r="O25" s="68">
        <v>31</v>
      </c>
      <c r="P25" s="80">
        <v>1148</v>
      </c>
      <c r="Q25" s="68">
        <v>-112</v>
      </c>
      <c r="R25" s="68">
        <v>154</v>
      </c>
      <c r="S25" s="68">
        <v>-45</v>
      </c>
      <c r="T25" s="68">
        <v>-56</v>
      </c>
      <c r="U25" s="94">
        <f>SUM(Q25:T25)</f>
        <v>-59</v>
      </c>
      <c r="V25" s="68">
        <v>-32</v>
      </c>
      <c r="W25" s="68">
        <v>-1152</v>
      </c>
    </row>
    <row r="26" spans="1:25" s="2" customFormat="1" ht="15" customHeight="1" x14ac:dyDescent="0.4">
      <c r="A26" s="25" t="s">
        <v>78</v>
      </c>
      <c r="B26" s="69">
        <f t="shared" ref="B26:W26" si="9">SUM(B22:B25)</f>
        <v>-33822</v>
      </c>
      <c r="C26" s="69">
        <f t="shared" si="9"/>
        <v>-22707</v>
      </c>
      <c r="D26" s="69">
        <f t="shared" si="9"/>
        <v>-25590</v>
      </c>
      <c r="E26" s="69">
        <f t="shared" si="9"/>
        <v>-19515</v>
      </c>
      <c r="F26" s="81">
        <f t="shared" si="9"/>
        <v>-101633</v>
      </c>
      <c r="G26" s="69">
        <f t="shared" si="9"/>
        <v>-11327</v>
      </c>
      <c r="H26" s="69">
        <f t="shared" si="9"/>
        <v>-27667</v>
      </c>
      <c r="I26" s="69">
        <f t="shared" si="9"/>
        <v>-20284</v>
      </c>
      <c r="J26" s="69">
        <f t="shared" si="9"/>
        <v>-253486</v>
      </c>
      <c r="K26" s="81">
        <f t="shared" si="9"/>
        <v>-312763</v>
      </c>
      <c r="L26" s="69">
        <f t="shared" si="9"/>
        <v>-28637</v>
      </c>
      <c r="M26" s="69">
        <f t="shared" si="9"/>
        <v>-24298</v>
      </c>
      <c r="N26" s="69">
        <f t="shared" si="9"/>
        <v>-27857</v>
      </c>
      <c r="O26" s="69">
        <f t="shared" si="9"/>
        <v>-25460</v>
      </c>
      <c r="P26" s="81">
        <f t="shared" si="9"/>
        <v>-106253</v>
      </c>
      <c r="Q26" s="69">
        <f t="shared" si="9"/>
        <v>-43490</v>
      </c>
      <c r="R26" s="69">
        <f t="shared" si="9"/>
        <v>-17693</v>
      </c>
      <c r="S26" s="69">
        <f t="shared" si="9"/>
        <v>-67801</v>
      </c>
      <c r="T26" s="69">
        <f t="shared" si="9"/>
        <v>-97733</v>
      </c>
      <c r="U26" s="81">
        <f t="shared" si="9"/>
        <v>-226717</v>
      </c>
      <c r="V26" s="69">
        <f t="shared" si="9"/>
        <v>-29041</v>
      </c>
      <c r="W26" s="69">
        <f t="shared" si="9"/>
        <v>-33307</v>
      </c>
    </row>
    <row r="27" spans="1:25" s="2" customFormat="1" ht="15" customHeight="1" x14ac:dyDescent="0.35">
      <c r="A27" s="24" t="s">
        <v>79</v>
      </c>
      <c r="B27" s="66">
        <v>827</v>
      </c>
      <c r="C27" s="66">
        <v>1567</v>
      </c>
      <c r="D27" s="66">
        <v>790</v>
      </c>
      <c r="E27" s="66">
        <v>788</v>
      </c>
      <c r="F27" s="77">
        <v>4023</v>
      </c>
      <c r="G27" s="66">
        <v>764</v>
      </c>
      <c r="H27" s="66">
        <v>2295</v>
      </c>
      <c r="I27" s="66">
        <v>739</v>
      </c>
      <c r="J27" s="66">
        <v>80224</v>
      </c>
      <c r="K27" s="77">
        <v>84022</v>
      </c>
      <c r="L27" s="66">
        <v>0</v>
      </c>
      <c r="M27" s="66">
        <v>1454</v>
      </c>
      <c r="N27" s="66">
        <v>2220</v>
      </c>
      <c r="O27" s="66">
        <v>26</v>
      </c>
      <c r="P27" s="77">
        <v>3700</v>
      </c>
      <c r="Q27" s="66">
        <v>0</v>
      </c>
      <c r="R27" s="66">
        <v>0</v>
      </c>
      <c r="S27" s="66">
        <v>0</v>
      </c>
      <c r="T27" s="66">
        <v>0</v>
      </c>
      <c r="U27" s="77">
        <f>SUM(Q27:T27)</f>
        <v>0</v>
      </c>
      <c r="V27" s="66">
        <v>0</v>
      </c>
      <c r="W27" s="66">
        <v>0</v>
      </c>
    </row>
    <row r="28" spans="1:25" s="2" customFormat="1" ht="15" customHeight="1" x14ac:dyDescent="0.35">
      <c r="A28" s="24" t="s">
        <v>80</v>
      </c>
      <c r="B28" s="66">
        <v>-3277</v>
      </c>
      <c r="C28" s="66">
        <v>-1369</v>
      </c>
      <c r="D28" s="66">
        <v>-1484</v>
      </c>
      <c r="E28" s="66">
        <v>-2797</v>
      </c>
      <c r="F28" s="77">
        <v>-8980</v>
      </c>
      <c r="G28" s="66">
        <f>-1505.360435+2</f>
        <v>-1503.3604350000001</v>
      </c>
      <c r="H28" s="66">
        <v>-3944</v>
      </c>
      <c r="I28" s="66">
        <v>32</v>
      </c>
      <c r="J28" s="66">
        <v>-7889</v>
      </c>
      <c r="K28" s="77">
        <v>-13305</v>
      </c>
      <c r="L28" s="66">
        <v>-2053</v>
      </c>
      <c r="M28" s="66">
        <v>-77168</v>
      </c>
      <c r="N28" s="66">
        <v>-4672</v>
      </c>
      <c r="O28" s="66">
        <v>-5838</v>
      </c>
      <c r="P28" s="77">
        <v>-89731</v>
      </c>
      <c r="Q28" s="66">
        <v>-238</v>
      </c>
      <c r="R28" s="66">
        <v>-235</v>
      </c>
      <c r="S28" s="66">
        <v>-248</v>
      </c>
      <c r="T28" s="66">
        <v>-243</v>
      </c>
      <c r="U28" s="76">
        <f t="shared" ref="U28:U31" si="10">SUM(Q28:T28)</f>
        <v>-964</v>
      </c>
      <c r="V28" s="66">
        <v>-172</v>
      </c>
      <c r="W28" s="66">
        <v>-167</v>
      </c>
    </row>
    <row r="29" spans="1:25" s="2" customFormat="1" ht="15" customHeight="1" x14ac:dyDescent="0.35">
      <c r="A29" s="24" t="s">
        <v>234</v>
      </c>
      <c r="B29" s="66">
        <v>2771</v>
      </c>
      <c r="C29" s="66">
        <v>3664</v>
      </c>
      <c r="D29" s="66">
        <v>3575</v>
      </c>
      <c r="E29" s="66">
        <v>3758</v>
      </c>
      <c r="F29" s="77">
        <v>13768</v>
      </c>
      <c r="G29" s="66">
        <v>5476</v>
      </c>
      <c r="H29" s="66">
        <v>10106</v>
      </c>
      <c r="I29" s="66">
        <v>1600</v>
      </c>
      <c r="J29" s="66">
        <v>2893</v>
      </c>
      <c r="K29" s="77">
        <v>20075</v>
      </c>
      <c r="L29" s="66">
        <v>12937</v>
      </c>
      <c r="M29" s="66">
        <v>11517</v>
      </c>
      <c r="N29" s="66">
        <v>5164</v>
      </c>
      <c r="O29" s="66">
        <v>2342</v>
      </c>
      <c r="P29" s="77">
        <v>31961</v>
      </c>
      <c r="Q29" s="66">
        <v>166</v>
      </c>
      <c r="R29" s="66">
        <v>396</v>
      </c>
      <c r="S29" s="66">
        <v>212</v>
      </c>
      <c r="T29" s="66">
        <v>699</v>
      </c>
      <c r="U29" s="76">
        <f t="shared" si="10"/>
        <v>1473</v>
      </c>
      <c r="V29" s="66">
        <v>11</v>
      </c>
      <c r="W29" s="66">
        <v>-98</v>
      </c>
      <c r="X29" s="15"/>
      <c r="Y29" s="15"/>
    </row>
    <row r="30" spans="1:25" s="2" customFormat="1" ht="15" customHeight="1" x14ac:dyDescent="0.35">
      <c r="A30" s="24" t="s">
        <v>206</v>
      </c>
      <c r="B30" s="88">
        <v>-1000</v>
      </c>
      <c r="C30" s="88">
        <v>0</v>
      </c>
      <c r="D30" s="88">
        <v>0</v>
      </c>
      <c r="E30" s="88">
        <v>0</v>
      </c>
      <c r="F30" s="156">
        <v>-1000</v>
      </c>
      <c r="G30" s="88">
        <v>0</v>
      </c>
      <c r="H30" s="88">
        <v>-171</v>
      </c>
      <c r="I30" s="88">
        <v>-25</v>
      </c>
      <c r="J30" s="88">
        <v>-26</v>
      </c>
      <c r="K30" s="156">
        <v>-222</v>
      </c>
      <c r="L30" s="88">
        <v>119</v>
      </c>
      <c r="M30" s="88">
        <v>145</v>
      </c>
      <c r="N30" s="88">
        <v>15082</v>
      </c>
      <c r="O30" s="88">
        <v>9256</v>
      </c>
      <c r="P30" s="156">
        <v>24602</v>
      </c>
      <c r="Q30" s="88">
        <f>-312+17157</f>
        <v>16845</v>
      </c>
      <c r="R30" s="88">
        <v>-35</v>
      </c>
      <c r="S30" s="88">
        <v>-136</v>
      </c>
      <c r="T30" s="88">
        <v>141</v>
      </c>
      <c r="U30" s="76">
        <f t="shared" si="10"/>
        <v>16815</v>
      </c>
      <c r="V30" s="88">
        <v>-30</v>
      </c>
      <c r="W30" s="88">
        <v>-209</v>
      </c>
      <c r="X30" s="15"/>
      <c r="Y30" s="15"/>
    </row>
    <row r="31" spans="1:25" s="56" customFormat="1" ht="15" customHeight="1" x14ac:dyDescent="0.35">
      <c r="A31" s="24" t="s">
        <v>222</v>
      </c>
      <c r="B31" s="88"/>
      <c r="C31" s="88"/>
      <c r="D31" s="88"/>
      <c r="E31" s="88"/>
      <c r="F31" s="156"/>
      <c r="G31" s="88"/>
      <c r="H31" s="88"/>
      <c r="I31" s="88"/>
      <c r="J31" s="88"/>
      <c r="K31" s="156"/>
      <c r="L31" s="88"/>
      <c r="M31" s="88"/>
      <c r="N31" s="88"/>
      <c r="O31" s="88"/>
      <c r="P31" s="156"/>
      <c r="Q31" s="88"/>
      <c r="R31" s="88"/>
      <c r="S31" s="88"/>
      <c r="T31" s="88">
        <v>-80000</v>
      </c>
      <c r="U31" s="121">
        <f t="shared" si="10"/>
        <v>-80000</v>
      </c>
      <c r="V31" s="88">
        <v>0</v>
      </c>
      <c r="W31" s="88">
        <v>0</v>
      </c>
      <c r="X31" s="15"/>
      <c r="Y31" s="15"/>
    </row>
    <row r="32" spans="1:25" s="2" customFormat="1" ht="15" customHeight="1" x14ac:dyDescent="0.4">
      <c r="A32" s="25" t="s">
        <v>81</v>
      </c>
      <c r="B32" s="69">
        <f t="shared" ref="B32:U32" si="11">SUM(B27:B31)</f>
        <v>-679</v>
      </c>
      <c r="C32" s="69">
        <f t="shared" si="11"/>
        <v>3862</v>
      </c>
      <c r="D32" s="69">
        <f t="shared" si="11"/>
        <v>2881</v>
      </c>
      <c r="E32" s="69">
        <f t="shared" si="11"/>
        <v>1749</v>
      </c>
      <c r="F32" s="81">
        <f t="shared" si="11"/>
        <v>7811</v>
      </c>
      <c r="G32" s="69">
        <f t="shared" si="11"/>
        <v>4736.6395649999995</v>
      </c>
      <c r="H32" s="69">
        <f t="shared" si="11"/>
        <v>8286</v>
      </c>
      <c r="I32" s="69">
        <f t="shared" si="11"/>
        <v>2346</v>
      </c>
      <c r="J32" s="69">
        <f t="shared" si="11"/>
        <v>75202</v>
      </c>
      <c r="K32" s="81">
        <f t="shared" si="11"/>
        <v>90570</v>
      </c>
      <c r="L32" s="69">
        <f t="shared" si="11"/>
        <v>11003</v>
      </c>
      <c r="M32" s="69">
        <f t="shared" si="11"/>
        <v>-64052</v>
      </c>
      <c r="N32" s="69">
        <f t="shared" si="11"/>
        <v>17794</v>
      </c>
      <c r="O32" s="69">
        <f t="shared" si="11"/>
        <v>5786</v>
      </c>
      <c r="P32" s="81">
        <f t="shared" si="11"/>
        <v>-29468</v>
      </c>
      <c r="Q32" s="69">
        <f t="shared" si="11"/>
        <v>16773</v>
      </c>
      <c r="R32" s="69">
        <f t="shared" si="11"/>
        <v>126</v>
      </c>
      <c r="S32" s="69">
        <f t="shared" si="11"/>
        <v>-172</v>
      </c>
      <c r="T32" s="69">
        <f>SUM(T27:T31)</f>
        <v>-79403</v>
      </c>
      <c r="U32" s="81">
        <f t="shared" si="11"/>
        <v>-62676</v>
      </c>
      <c r="V32" s="69">
        <f t="shared" ref="V32:W32" si="12">SUM(V27:V31)</f>
        <v>-191</v>
      </c>
      <c r="W32" s="69">
        <f t="shared" si="12"/>
        <v>-474</v>
      </c>
      <c r="X32" s="15"/>
      <c r="Y32" s="15"/>
    </row>
    <row r="33" spans="1:25" s="2" customFormat="1" ht="15" customHeight="1" x14ac:dyDescent="0.35">
      <c r="A33" s="24" t="s">
        <v>205</v>
      </c>
      <c r="B33" s="169">
        <v>-41957</v>
      </c>
      <c r="C33" s="68">
        <v>11640</v>
      </c>
      <c r="D33" s="68">
        <v>-1256</v>
      </c>
      <c r="E33" s="68">
        <v>-10047</v>
      </c>
      <c r="F33" s="80">
        <v>-41618</v>
      </c>
      <c r="G33" s="68">
        <f>20256.4703675634</f>
        <v>20256.470367563401</v>
      </c>
      <c r="H33" s="68">
        <f>-8597+1</f>
        <v>-8596</v>
      </c>
      <c r="I33" s="68">
        <v>4058</v>
      </c>
      <c r="J33" s="68">
        <v>-30215</v>
      </c>
      <c r="K33" s="80">
        <v>-14496</v>
      </c>
      <c r="L33" s="68">
        <v>6892</v>
      </c>
      <c r="M33" s="68">
        <v>32231</v>
      </c>
      <c r="N33" s="68">
        <f>-1866</f>
        <v>-1866</v>
      </c>
      <c r="O33" s="68">
        <v>-3200</v>
      </c>
      <c r="P33" s="80">
        <v>34057</v>
      </c>
      <c r="Q33" s="68">
        <v>11953</v>
      </c>
      <c r="R33" s="68">
        <v>-26363</v>
      </c>
      <c r="S33" s="68">
        <v>-3878</v>
      </c>
      <c r="T33" s="68">
        <v>-2728</v>
      </c>
      <c r="U33" s="80">
        <v>-21018</v>
      </c>
      <c r="V33" s="68">
        <v>-6643</v>
      </c>
      <c r="W33" s="68">
        <v>7099</v>
      </c>
      <c r="X33" s="15"/>
      <c r="Y33" s="15"/>
    </row>
    <row r="34" spans="1:25" s="2" customFormat="1" ht="15" customHeight="1" x14ac:dyDescent="0.4">
      <c r="A34" s="25" t="s">
        <v>82</v>
      </c>
      <c r="B34" s="69">
        <f>SUM(B21,B26,B32,B33)</f>
        <v>-35451</v>
      </c>
      <c r="C34" s="69">
        <f t="shared" ref="C34:W34" si="13">SUM(C21,C26,C32,C33)</f>
        <v>4733</v>
      </c>
      <c r="D34" s="69">
        <f t="shared" si="13"/>
        <v>-6465</v>
      </c>
      <c r="E34" s="69">
        <f t="shared" si="13"/>
        <v>38893</v>
      </c>
      <c r="F34" s="81">
        <f t="shared" si="13"/>
        <v>1710</v>
      </c>
      <c r="G34" s="69">
        <f t="shared" si="13"/>
        <v>32573.540638811399</v>
      </c>
      <c r="H34" s="69">
        <f t="shared" si="13"/>
        <v>-8703</v>
      </c>
      <c r="I34" s="69">
        <f t="shared" si="13"/>
        <v>29751</v>
      </c>
      <c r="J34" s="69">
        <f t="shared" si="13"/>
        <v>-136841</v>
      </c>
      <c r="K34" s="81">
        <f t="shared" si="13"/>
        <v>-83220</v>
      </c>
      <c r="L34" s="69">
        <f t="shared" si="13"/>
        <v>33496</v>
      </c>
      <c r="M34" s="69">
        <f t="shared" si="13"/>
        <v>4372</v>
      </c>
      <c r="N34" s="69">
        <f t="shared" si="13"/>
        <v>49798</v>
      </c>
      <c r="O34" s="69">
        <f t="shared" si="13"/>
        <v>56128</v>
      </c>
      <c r="P34" s="81">
        <f t="shared" si="13"/>
        <v>143794</v>
      </c>
      <c r="Q34" s="69">
        <f t="shared" si="13"/>
        <v>69763</v>
      </c>
      <c r="R34" s="69">
        <f t="shared" si="13"/>
        <v>-3589</v>
      </c>
      <c r="S34" s="69">
        <f t="shared" si="13"/>
        <v>-21595</v>
      </c>
      <c r="T34" s="69">
        <f t="shared" si="13"/>
        <v>-94264</v>
      </c>
      <c r="U34" s="81">
        <f t="shared" si="13"/>
        <v>-49685</v>
      </c>
      <c r="V34" s="69">
        <f t="shared" si="13"/>
        <v>31345</v>
      </c>
      <c r="W34" s="69">
        <f t="shared" si="13"/>
        <v>26282</v>
      </c>
      <c r="X34" s="15"/>
      <c r="Y34" s="15"/>
    </row>
    <row r="35" spans="1:25" s="2" customFormat="1" ht="15" customHeight="1" x14ac:dyDescent="0.35">
      <c r="A35" s="24" t="s">
        <v>83</v>
      </c>
      <c r="B35" s="66">
        <v>351827</v>
      </c>
      <c r="C35" s="65">
        <f>B36</f>
        <v>316376</v>
      </c>
      <c r="D35" s="65">
        <f t="shared" ref="D35:E35" si="14">C36</f>
        <v>321109</v>
      </c>
      <c r="E35" s="65">
        <f t="shared" si="14"/>
        <v>314644</v>
      </c>
      <c r="F35" s="76">
        <f>B35</f>
        <v>351827</v>
      </c>
      <c r="G35" s="65">
        <f>F36</f>
        <v>353537</v>
      </c>
      <c r="H35" s="65">
        <f>G36</f>
        <v>386110.54063881142</v>
      </c>
      <c r="I35" s="65">
        <f>H36</f>
        <v>377407.54063881142</v>
      </c>
      <c r="J35" s="65">
        <f>I36</f>
        <v>407158.54063881142</v>
      </c>
      <c r="K35" s="76">
        <f>F36</f>
        <v>353537</v>
      </c>
      <c r="L35" s="65">
        <f>K36</f>
        <v>270317</v>
      </c>
      <c r="M35" s="65">
        <f t="shared" ref="M35:O35" si="15">L36</f>
        <v>303813</v>
      </c>
      <c r="N35" s="65">
        <f t="shared" si="15"/>
        <v>308185</v>
      </c>
      <c r="O35" s="65">
        <f t="shared" si="15"/>
        <v>357983</v>
      </c>
      <c r="P35" s="76">
        <f>K36</f>
        <v>270317</v>
      </c>
      <c r="Q35" s="65">
        <f>P36</f>
        <v>414111</v>
      </c>
      <c r="R35" s="65">
        <f>Q36</f>
        <v>483874</v>
      </c>
      <c r="S35" s="65">
        <f>R36</f>
        <v>480285</v>
      </c>
      <c r="T35" s="65">
        <f t="shared" ref="T35" si="16">S36</f>
        <v>458690</v>
      </c>
      <c r="U35" s="76">
        <f>P36</f>
        <v>414111</v>
      </c>
      <c r="V35" s="65">
        <f>U36</f>
        <v>364426</v>
      </c>
      <c r="W35" s="65">
        <f>V36</f>
        <v>395771</v>
      </c>
      <c r="X35" s="15"/>
      <c r="Y35" s="15"/>
    </row>
    <row r="36" spans="1:25" s="2" customFormat="1" ht="15" customHeight="1" x14ac:dyDescent="0.4">
      <c r="A36" s="25" t="s">
        <v>84</v>
      </c>
      <c r="B36" s="90">
        <f>SUM(B35,B34)</f>
        <v>316376</v>
      </c>
      <c r="C36" s="90">
        <f t="shared" ref="C36:W36" si="17">SUM(C35,C34)</f>
        <v>321109</v>
      </c>
      <c r="D36" s="90">
        <f t="shared" si="17"/>
        <v>314644</v>
      </c>
      <c r="E36" s="90">
        <f t="shared" si="17"/>
        <v>353537</v>
      </c>
      <c r="F36" s="171">
        <f t="shared" si="17"/>
        <v>353537</v>
      </c>
      <c r="G36" s="90">
        <f t="shared" si="17"/>
        <v>386110.54063881142</v>
      </c>
      <c r="H36" s="90">
        <f t="shared" si="17"/>
        <v>377407.54063881142</v>
      </c>
      <c r="I36" s="90">
        <f t="shared" si="17"/>
        <v>407158.54063881142</v>
      </c>
      <c r="J36" s="90">
        <f t="shared" si="17"/>
        <v>270317.54063881142</v>
      </c>
      <c r="K36" s="171">
        <f t="shared" si="17"/>
        <v>270317</v>
      </c>
      <c r="L36" s="90">
        <f t="shared" si="17"/>
        <v>303813</v>
      </c>
      <c r="M36" s="90">
        <f t="shared" si="17"/>
        <v>308185</v>
      </c>
      <c r="N36" s="90">
        <f t="shared" si="17"/>
        <v>357983</v>
      </c>
      <c r="O36" s="90">
        <f t="shared" si="17"/>
        <v>414111</v>
      </c>
      <c r="P36" s="171">
        <f t="shared" si="17"/>
        <v>414111</v>
      </c>
      <c r="Q36" s="90">
        <f t="shared" si="17"/>
        <v>483874</v>
      </c>
      <c r="R36" s="90">
        <f t="shared" si="17"/>
        <v>480285</v>
      </c>
      <c r="S36" s="90">
        <f t="shared" si="17"/>
        <v>458690</v>
      </c>
      <c r="T36" s="90">
        <f t="shared" si="17"/>
        <v>364426</v>
      </c>
      <c r="U36" s="171">
        <f t="shared" si="17"/>
        <v>364426</v>
      </c>
      <c r="V36" s="90">
        <f t="shared" si="17"/>
        <v>395771</v>
      </c>
      <c r="W36" s="90">
        <f t="shared" si="17"/>
        <v>422053</v>
      </c>
      <c r="X36" s="15"/>
      <c r="Y36" s="15"/>
    </row>
    <row r="37" spans="1:25" s="56" customFormat="1" ht="15" hidden="1" customHeight="1" outlineLevel="1" x14ac:dyDescent="0.4">
      <c r="A37" s="25" t="s">
        <v>238</v>
      </c>
      <c r="B37" s="166"/>
      <c r="C37" s="166"/>
      <c r="D37" s="166"/>
      <c r="E37" s="166"/>
      <c r="F37" s="172"/>
      <c r="G37" s="166"/>
      <c r="H37" s="166"/>
      <c r="I37" s="166"/>
      <c r="J37" s="166"/>
      <c r="K37" s="172"/>
      <c r="L37" s="166"/>
      <c r="M37" s="166"/>
      <c r="N37" s="166"/>
      <c r="O37" s="166"/>
      <c r="P37" s="172"/>
      <c r="Q37" s="166"/>
      <c r="R37" s="166"/>
      <c r="S37" s="166"/>
      <c r="T37" s="166"/>
      <c r="U37" s="172"/>
      <c r="V37" s="166"/>
      <c r="W37" s="166"/>
      <c r="X37" s="170" t="s">
        <v>242</v>
      </c>
      <c r="Y37" s="15"/>
    </row>
    <row r="38" spans="1:25" s="56" customFormat="1" ht="15" hidden="1" customHeight="1" outlineLevel="1" x14ac:dyDescent="0.35">
      <c r="A38" s="24" t="s">
        <v>239</v>
      </c>
      <c r="B38" s="90"/>
      <c r="C38" s="90"/>
      <c r="D38" s="90"/>
      <c r="E38" s="90"/>
      <c r="F38" s="171"/>
      <c r="G38" s="90"/>
      <c r="H38" s="90"/>
      <c r="I38" s="90"/>
      <c r="J38" s="90"/>
      <c r="K38" s="171"/>
      <c r="L38" s="90"/>
      <c r="M38" s="90"/>
      <c r="N38" s="90"/>
      <c r="O38" s="90"/>
      <c r="P38" s="171"/>
      <c r="Q38" s="90"/>
      <c r="R38" s="168">
        <v>-18343</v>
      </c>
      <c r="S38" s="90"/>
      <c r="T38" s="90"/>
      <c r="U38" s="171"/>
      <c r="V38" s="90"/>
      <c r="W38" s="168">
        <v>-7127</v>
      </c>
      <c r="X38" s="15"/>
      <c r="Y38" s="15"/>
    </row>
    <row r="39" spans="1:25" s="56" customFormat="1" ht="15" hidden="1" customHeight="1" outlineLevel="1" x14ac:dyDescent="0.35">
      <c r="A39" s="24" t="s">
        <v>240</v>
      </c>
      <c r="B39" s="90"/>
      <c r="C39" s="90"/>
      <c r="D39" s="90"/>
      <c r="E39" s="90"/>
      <c r="F39" s="171"/>
      <c r="G39" s="90"/>
      <c r="H39" s="90"/>
      <c r="I39" s="90"/>
      <c r="J39" s="90"/>
      <c r="K39" s="171"/>
      <c r="L39" s="90"/>
      <c r="M39" s="90"/>
      <c r="N39" s="90"/>
      <c r="O39" s="90"/>
      <c r="P39" s="171"/>
      <c r="Q39" s="90"/>
      <c r="R39" s="168">
        <v>-432</v>
      </c>
      <c r="S39" s="90"/>
      <c r="T39" s="90"/>
      <c r="U39" s="171"/>
      <c r="V39" s="90"/>
      <c r="W39" s="168">
        <v>-351</v>
      </c>
      <c r="X39" s="15"/>
      <c r="Y39" s="15"/>
    </row>
    <row r="40" spans="1:25" s="2" customFormat="1" ht="15" customHeight="1" collapsed="1" x14ac:dyDescent="0.35">
      <c r="A40" s="24"/>
      <c r="B40" s="15"/>
      <c r="C40" s="15"/>
      <c r="D40" s="15"/>
      <c r="E40" s="15"/>
      <c r="F40" s="22"/>
      <c r="G40" s="15"/>
      <c r="H40" s="15"/>
      <c r="I40" s="15"/>
      <c r="J40" s="15"/>
      <c r="K40" s="22"/>
      <c r="L40" s="15"/>
      <c r="M40" s="15"/>
      <c r="N40" s="15"/>
      <c r="O40" s="15"/>
      <c r="P40" s="22"/>
      <c r="Q40" s="15"/>
      <c r="R40" s="15"/>
      <c r="S40" s="15"/>
      <c r="T40" s="15"/>
      <c r="U40" s="22"/>
      <c r="V40" s="15"/>
      <c r="W40" s="15"/>
      <c r="X40" s="15"/>
      <c r="Y40" s="15"/>
    </row>
    <row r="41" spans="1:25" ht="15" customHeight="1" x14ac:dyDescent="0.35"/>
    <row r="42" spans="1:25" ht="15" customHeight="1" x14ac:dyDescent="0.35">
      <c r="A42" s="16" t="s">
        <v>215</v>
      </c>
    </row>
    <row r="43" spans="1:25" ht="15" customHeight="1" x14ac:dyDescent="0.35"/>
    <row r="44" spans="1:25" ht="15" customHeight="1" x14ac:dyDescent="0.35"/>
    <row r="45" spans="1:25" ht="15" customHeight="1" x14ac:dyDescent="0.35"/>
    <row r="46" spans="1:25" ht="15" customHeight="1" x14ac:dyDescent="0.35"/>
    <row r="47" spans="1:25" ht="15" customHeight="1" x14ac:dyDescent="0.35"/>
    <row r="48" spans="1:25"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sheetData>
  <pageMargins left="0.7" right="0.7" top="0.75" bottom="0.75" header="0.3" footer="0.3"/>
  <pageSetup orientation="landscape" r:id="rId1"/>
  <ignoredErrors>
    <ignoredError sqref="B13:V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1"/>
  <sheetViews>
    <sheetView showGridLines="0" zoomScale="70" zoomScaleNormal="70" workbookViewId="0"/>
  </sheetViews>
  <sheetFormatPr defaultColWidth="12.640625" defaultRowHeight="12.75" outlineLevelRow="1" x14ac:dyDescent="0.35"/>
  <cols>
    <col min="1" max="1" width="79.2109375" style="15" customWidth="1"/>
    <col min="2" max="16384" width="12.640625" style="15"/>
  </cols>
  <sheetData>
    <row r="1" spans="1:23" ht="13.15" x14ac:dyDescent="0.4">
      <c r="A1" s="14" t="s">
        <v>173</v>
      </c>
    </row>
    <row r="2" spans="1:23" x14ac:dyDescent="0.35">
      <c r="A2" s="15" t="s">
        <v>169</v>
      </c>
    </row>
    <row r="3" spans="1:23" s="2" customFormat="1" ht="24" customHeight="1" x14ac:dyDescent="0.4">
      <c r="B3" s="13" t="s">
        <v>159</v>
      </c>
      <c r="C3" s="13" t="s">
        <v>162</v>
      </c>
      <c r="D3" s="13" t="s">
        <v>161</v>
      </c>
      <c r="E3" s="13" t="s">
        <v>160</v>
      </c>
      <c r="F3" s="20" t="s">
        <v>158</v>
      </c>
      <c r="G3" s="13" t="s">
        <v>157</v>
      </c>
      <c r="H3" s="13" t="s">
        <v>156</v>
      </c>
      <c r="I3" s="13" t="s">
        <v>155</v>
      </c>
      <c r="J3" s="13" t="s">
        <v>151</v>
      </c>
      <c r="K3" s="20" t="s">
        <v>150</v>
      </c>
      <c r="L3" s="13" t="s">
        <v>147</v>
      </c>
      <c r="M3" s="13" t="s">
        <v>153</v>
      </c>
      <c r="N3" s="13" t="s">
        <v>154</v>
      </c>
      <c r="O3" s="13" t="s">
        <v>152</v>
      </c>
      <c r="P3" s="20" t="s">
        <v>149</v>
      </c>
      <c r="Q3" s="13" t="s">
        <v>146</v>
      </c>
      <c r="R3" s="13" t="s">
        <v>213</v>
      </c>
      <c r="S3" s="13" t="s">
        <v>216</v>
      </c>
      <c r="T3" s="13" t="s">
        <v>220</v>
      </c>
      <c r="U3" s="20" t="s">
        <v>221</v>
      </c>
      <c r="V3" s="13" t="s">
        <v>227</v>
      </c>
      <c r="W3" s="13" t="s">
        <v>235</v>
      </c>
    </row>
    <row r="4" spans="1:23" s="2" customFormat="1" ht="15" customHeight="1" x14ac:dyDescent="0.4">
      <c r="A4" s="1" t="s">
        <v>74</v>
      </c>
      <c r="B4" s="86">
        <f>Cashflows!B21</f>
        <v>41007</v>
      </c>
      <c r="C4" s="86">
        <f>Cashflows!C21</f>
        <v>11938</v>
      </c>
      <c r="D4" s="86">
        <f>Cashflows!D21</f>
        <v>17500</v>
      </c>
      <c r="E4" s="86">
        <f>Cashflows!E21</f>
        <v>66706</v>
      </c>
      <c r="F4" s="21">
        <f>Cashflows!F21</f>
        <v>137150</v>
      </c>
      <c r="G4" s="86">
        <f>Cashflows!G21</f>
        <v>18907.430706248</v>
      </c>
      <c r="H4" s="86">
        <f>Cashflows!H21</f>
        <v>19274</v>
      </c>
      <c r="I4" s="86">
        <f>Cashflows!I21</f>
        <v>43631</v>
      </c>
      <c r="J4" s="86">
        <f>Cashflows!J21</f>
        <v>71658</v>
      </c>
      <c r="K4" s="21">
        <f>Cashflows!K21</f>
        <v>153469</v>
      </c>
      <c r="L4" s="86">
        <f>Cashflows!L21</f>
        <v>44238</v>
      </c>
      <c r="M4" s="86">
        <f>Cashflows!M21</f>
        <v>60491</v>
      </c>
      <c r="N4" s="86">
        <f>Cashflows!N21</f>
        <v>61727</v>
      </c>
      <c r="O4" s="86">
        <f>Cashflows!O21</f>
        <v>79002</v>
      </c>
      <c r="P4" s="21">
        <f>Cashflows!P21</f>
        <v>245458</v>
      </c>
      <c r="Q4" s="86">
        <f>Cashflows!Q21</f>
        <v>84527</v>
      </c>
      <c r="R4" s="86">
        <f>Cashflows!R21</f>
        <v>40341</v>
      </c>
      <c r="S4" s="86">
        <f>Cashflows!S21</f>
        <v>50256</v>
      </c>
      <c r="T4" s="86">
        <f>Cashflows!T21</f>
        <v>85600</v>
      </c>
      <c r="U4" s="21">
        <f>Cashflows!U21</f>
        <v>260726</v>
      </c>
      <c r="V4" s="86">
        <f>Cashflows!V21</f>
        <v>67220</v>
      </c>
      <c r="W4" s="86">
        <f>Cashflows!W21</f>
        <v>52964</v>
      </c>
    </row>
    <row r="5" spans="1:23" s="2" customFormat="1" ht="15" customHeight="1" x14ac:dyDescent="0.35">
      <c r="A5" s="2" t="s">
        <v>75</v>
      </c>
      <c r="B5" s="65">
        <f>Cashflows!B22</f>
        <v>-11528</v>
      </c>
      <c r="C5" s="65">
        <f>Cashflows!C22</f>
        <v>-29630</v>
      </c>
      <c r="D5" s="65">
        <f>Cashflows!D22</f>
        <v>-21514</v>
      </c>
      <c r="E5" s="65">
        <f>Cashflows!E22</f>
        <v>-12936</v>
      </c>
      <c r="F5" s="76">
        <f>Cashflows!F22</f>
        <v>-75607</v>
      </c>
      <c r="G5" s="65">
        <f>Cashflows!G22</f>
        <v>-13615</v>
      </c>
      <c r="H5" s="65">
        <f>Cashflows!H22</f>
        <v>-25564</v>
      </c>
      <c r="I5" s="65">
        <f>Cashflows!I22</f>
        <v>-15792</v>
      </c>
      <c r="J5" s="65">
        <f>Cashflows!J22</f>
        <v>-30163</v>
      </c>
      <c r="K5" s="76">
        <f>Cashflows!K22</f>
        <v>-85133</v>
      </c>
      <c r="L5" s="65">
        <f>Cashflows!L22</f>
        <v>-23267</v>
      </c>
      <c r="M5" s="65">
        <f>Cashflows!M22</f>
        <v>-30008</v>
      </c>
      <c r="N5" s="65">
        <f>Cashflows!N22</f>
        <v>-20999</v>
      </c>
      <c r="O5" s="65">
        <f>Cashflows!O22</f>
        <v>-47928</v>
      </c>
      <c r="P5" s="76">
        <f>Cashflows!P22</f>
        <v>-122203</v>
      </c>
      <c r="Q5" s="65">
        <f>Cashflows!Q22</f>
        <v>-7413</v>
      </c>
      <c r="R5" s="65">
        <f>Cashflows!R22</f>
        <v>-18880</v>
      </c>
      <c r="S5" s="65">
        <f>Cashflows!S22</f>
        <v>-60627</v>
      </c>
      <c r="T5" s="65">
        <f>Cashflows!T22</f>
        <v>-30064</v>
      </c>
      <c r="U5" s="76">
        <f>Cashflows!U22</f>
        <v>-116984</v>
      </c>
      <c r="V5" s="65">
        <f>Cashflows!V22</f>
        <v>-13292</v>
      </c>
      <c r="W5" s="65">
        <f>Cashflows!W22</f>
        <v>-28812</v>
      </c>
    </row>
    <row r="6" spans="1:23" s="2" customFormat="1" ht="15" hidden="1" customHeight="1" outlineLevel="1" x14ac:dyDescent="0.35">
      <c r="A6" s="2" t="s">
        <v>85</v>
      </c>
      <c r="B6" s="66"/>
      <c r="C6" s="66"/>
      <c r="D6" s="66"/>
      <c r="E6" s="66"/>
      <c r="F6" s="77"/>
      <c r="G6" s="66"/>
      <c r="H6" s="66"/>
      <c r="I6" s="66"/>
      <c r="J6" s="66"/>
      <c r="K6" s="77"/>
      <c r="L6" s="66"/>
      <c r="M6" s="66"/>
      <c r="N6" s="66"/>
      <c r="O6" s="66"/>
      <c r="P6" s="77"/>
      <c r="Q6" s="66"/>
      <c r="R6" s="66"/>
      <c r="S6" s="66"/>
      <c r="T6" s="66"/>
      <c r="U6" s="77"/>
      <c r="V6" s="66"/>
      <c r="W6" s="66"/>
    </row>
    <row r="7" spans="1:23" s="2" customFormat="1" ht="15" customHeight="1" collapsed="1" x14ac:dyDescent="0.35">
      <c r="A7" s="2" t="s">
        <v>76</v>
      </c>
      <c r="B7" s="96">
        <f>Cashflows!B23</f>
        <v>-1334</v>
      </c>
      <c r="C7" s="96">
        <f>Cashflows!C23</f>
        <v>11282</v>
      </c>
      <c r="D7" s="96">
        <f>Cashflows!D23</f>
        <v>-2551</v>
      </c>
      <c r="E7" s="96">
        <f>Cashflows!E23</f>
        <v>-6269</v>
      </c>
      <c r="F7" s="94">
        <f>Cashflows!F23</f>
        <v>1128</v>
      </c>
      <c r="G7" s="96">
        <f>Cashflows!G23</f>
        <v>1507</v>
      </c>
      <c r="H7" s="96">
        <f>Cashflows!H23</f>
        <v>3178</v>
      </c>
      <c r="I7" s="96">
        <f>Cashflows!I23</f>
        <v>-4115</v>
      </c>
      <c r="J7" s="96">
        <f>Cashflows!J23</f>
        <v>7182</v>
      </c>
      <c r="K7" s="94">
        <f>Cashflows!K23</f>
        <v>7752</v>
      </c>
      <c r="L7" s="96">
        <f>Cashflows!L23</f>
        <v>-4939</v>
      </c>
      <c r="M7" s="96">
        <f>Cashflows!M23</f>
        <v>2953</v>
      </c>
      <c r="N7" s="96">
        <f>Cashflows!N23</f>
        <v>-6774</v>
      </c>
      <c r="O7" s="96">
        <f>Cashflows!O23</f>
        <v>22452</v>
      </c>
      <c r="P7" s="94">
        <f>Cashflows!P23</f>
        <v>13692</v>
      </c>
      <c r="Q7" s="96">
        <f>Cashflows!Q23</f>
        <v>-25154</v>
      </c>
      <c r="R7" s="96">
        <f>Cashflows!R23</f>
        <v>1033</v>
      </c>
      <c r="S7" s="96">
        <f>Cashflows!S23</f>
        <v>30971</v>
      </c>
      <c r="T7" s="96">
        <f>Cashflows!T23</f>
        <v>-15344</v>
      </c>
      <c r="U7" s="94">
        <f>Cashflows!U23</f>
        <v>-8494</v>
      </c>
      <c r="V7" s="96">
        <f>Cashflows!V23</f>
        <v>-10392</v>
      </c>
      <c r="W7" s="96">
        <f>Cashflows!W23</f>
        <v>-3980</v>
      </c>
    </row>
    <row r="8" spans="1:23" s="2" customFormat="1" ht="15" customHeight="1" x14ac:dyDescent="0.4">
      <c r="A8" s="1" t="s">
        <v>196</v>
      </c>
      <c r="B8" s="97">
        <f t="shared" ref="B8:F8" si="0">SUM(B4:B7)</f>
        <v>28145</v>
      </c>
      <c r="C8" s="97">
        <f t="shared" si="0"/>
        <v>-6410</v>
      </c>
      <c r="D8" s="97">
        <f t="shared" si="0"/>
        <v>-6565</v>
      </c>
      <c r="E8" s="97">
        <f t="shared" si="0"/>
        <v>47501</v>
      </c>
      <c r="F8" s="95">
        <f t="shared" si="0"/>
        <v>62671</v>
      </c>
      <c r="G8" s="97">
        <f t="shared" ref="G8:K8" si="1">SUM(G4:G7)</f>
        <v>6799.4307062480002</v>
      </c>
      <c r="H8" s="97">
        <f t="shared" si="1"/>
        <v>-3112</v>
      </c>
      <c r="I8" s="97">
        <f t="shared" si="1"/>
        <v>23724</v>
      </c>
      <c r="J8" s="97">
        <f t="shared" si="1"/>
        <v>48677</v>
      </c>
      <c r="K8" s="95">
        <f t="shared" si="1"/>
        <v>76088</v>
      </c>
      <c r="L8" s="97">
        <f>SUM(L4:L7)</f>
        <v>16032</v>
      </c>
      <c r="M8" s="97">
        <f t="shared" ref="M8:P8" si="2">SUM(M4:M7)</f>
        <v>33436</v>
      </c>
      <c r="N8" s="97">
        <f t="shared" si="2"/>
        <v>33954</v>
      </c>
      <c r="O8" s="97">
        <f t="shared" si="2"/>
        <v>53526</v>
      </c>
      <c r="P8" s="95">
        <f t="shared" si="2"/>
        <v>136947</v>
      </c>
      <c r="Q8" s="97">
        <f>SUM(Q4:Q7)</f>
        <v>51960</v>
      </c>
      <c r="R8" s="97">
        <f>SUM(R4:R7)</f>
        <v>22494</v>
      </c>
      <c r="S8" s="97">
        <f>SUM(S4:S7)</f>
        <v>20600</v>
      </c>
      <c r="T8" s="97">
        <f t="shared" ref="T8:U8" si="3">SUM(T4:T7)</f>
        <v>40192</v>
      </c>
      <c r="U8" s="95">
        <f t="shared" si="3"/>
        <v>135248</v>
      </c>
      <c r="V8" s="97">
        <f>SUM(V4:V7)</f>
        <v>43536</v>
      </c>
      <c r="W8" s="97">
        <f>SUM(W4:W7)</f>
        <v>20172</v>
      </c>
    </row>
    <row r="9" spans="1:23" s="2" customFormat="1" ht="15" customHeight="1" x14ac:dyDescent="0.35">
      <c r="F9" s="22"/>
      <c r="K9" s="22"/>
      <c r="P9" s="22"/>
      <c r="R9" s="56"/>
      <c r="S9" s="56"/>
      <c r="T9" s="56"/>
      <c r="U9" s="22"/>
      <c r="V9" s="56"/>
      <c r="W9" s="56"/>
    </row>
    <row r="10" spans="1:23" ht="15" customHeight="1" x14ac:dyDescent="0.35">
      <c r="A10" s="24" t="s">
        <v>183</v>
      </c>
    </row>
    <row r="11" spans="1:23" ht="15" customHeight="1" x14ac:dyDescent="0.35">
      <c r="A11" s="19"/>
    </row>
    <row r="12" spans="1:23" ht="15" customHeight="1" x14ac:dyDescent="0.35"/>
    <row r="13" spans="1:23" ht="15" customHeight="1" x14ac:dyDescent="0.35"/>
    <row r="14" spans="1:23" ht="15" customHeight="1" x14ac:dyDescent="0.35"/>
    <row r="15" spans="1:23" ht="15" customHeight="1" x14ac:dyDescent="0.35"/>
    <row r="16" spans="1:23"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79"/>
  <sheetViews>
    <sheetView showGridLines="0" zoomScale="70" zoomScaleNormal="70" workbookViewId="0"/>
  </sheetViews>
  <sheetFormatPr defaultColWidth="12.640625" defaultRowHeight="12.75" x14ac:dyDescent="0.35"/>
  <cols>
    <col min="1" max="1" width="27.85546875" style="15" customWidth="1"/>
    <col min="2" max="12" width="12.640625" style="15" customWidth="1"/>
    <col min="13" max="16384" width="12.640625" style="15"/>
  </cols>
  <sheetData>
    <row r="1" spans="1:25" ht="13.15" x14ac:dyDescent="0.4">
      <c r="A1" s="23" t="s">
        <v>174</v>
      </c>
    </row>
    <row r="2" spans="1:25" x14ac:dyDescent="0.35">
      <c r="A2" s="16" t="s">
        <v>169</v>
      </c>
    </row>
    <row r="3" spans="1:25" s="2" customFormat="1" ht="24" customHeight="1" x14ac:dyDescent="0.4">
      <c r="A3" s="28" t="s">
        <v>86</v>
      </c>
      <c r="B3" s="29" t="s">
        <v>159</v>
      </c>
      <c r="C3" s="29" t="s">
        <v>162</v>
      </c>
      <c r="D3" s="29" t="s">
        <v>161</v>
      </c>
      <c r="E3" s="29" t="s">
        <v>160</v>
      </c>
      <c r="F3" s="30" t="s">
        <v>158</v>
      </c>
      <c r="G3" s="29" t="s">
        <v>157</v>
      </c>
      <c r="H3" s="29" t="s">
        <v>156</v>
      </c>
      <c r="I3" s="29" t="s">
        <v>155</v>
      </c>
      <c r="J3" s="29" t="s">
        <v>151</v>
      </c>
      <c r="K3" s="30" t="s">
        <v>150</v>
      </c>
      <c r="L3" s="29" t="s">
        <v>147</v>
      </c>
      <c r="M3" s="29" t="s">
        <v>153</v>
      </c>
      <c r="N3" s="29" t="s">
        <v>154</v>
      </c>
      <c r="O3" s="29" t="s">
        <v>152</v>
      </c>
      <c r="P3" s="30" t="s">
        <v>149</v>
      </c>
      <c r="Q3" s="29" t="s">
        <v>146</v>
      </c>
      <c r="R3" s="29" t="s">
        <v>213</v>
      </c>
      <c r="S3" s="29" t="s">
        <v>216</v>
      </c>
      <c r="T3" s="29" t="s">
        <v>220</v>
      </c>
      <c r="U3" s="30" t="s">
        <v>221</v>
      </c>
      <c r="V3" s="29" t="s">
        <v>227</v>
      </c>
      <c r="W3" s="29" t="s">
        <v>235</v>
      </c>
    </row>
    <row r="4" spans="1:25" s="2" customFormat="1" ht="15" customHeight="1" x14ac:dyDescent="0.4">
      <c r="A4" s="1" t="s">
        <v>42</v>
      </c>
      <c r="F4" s="22"/>
      <c r="K4" s="22"/>
      <c r="P4" s="22"/>
      <c r="R4" s="56"/>
      <c r="S4" s="56"/>
      <c r="T4" s="56"/>
      <c r="U4" s="22"/>
      <c r="V4" s="56"/>
      <c r="W4" s="56"/>
    </row>
    <row r="5" spans="1:25" s="2" customFormat="1" ht="15" customHeight="1" x14ac:dyDescent="0.35">
      <c r="A5" s="2" t="s">
        <v>87</v>
      </c>
      <c r="B5" s="57">
        <v>100624</v>
      </c>
      <c r="C5" s="57">
        <v>110872</v>
      </c>
      <c r="D5" s="57">
        <v>124024</v>
      </c>
      <c r="E5" s="57">
        <v>170133</v>
      </c>
      <c r="F5" s="116">
        <v>505653</v>
      </c>
      <c r="G5" s="57">
        <v>147174</v>
      </c>
      <c r="H5" s="57">
        <v>156522</v>
      </c>
      <c r="I5" s="57">
        <v>160739</v>
      </c>
      <c r="J5" s="57">
        <v>266438</v>
      </c>
      <c r="K5" s="116">
        <v>730873</v>
      </c>
      <c r="L5" s="57">
        <v>208013</v>
      </c>
      <c r="M5" s="57">
        <v>229392</v>
      </c>
      <c r="N5" s="57">
        <v>228326</v>
      </c>
      <c r="O5" s="57">
        <v>324696</v>
      </c>
      <c r="P5" s="116">
        <v>990424</v>
      </c>
      <c r="Q5" s="57">
        <v>212695</v>
      </c>
      <c r="R5" s="57">
        <v>212781</v>
      </c>
      <c r="S5" s="57">
        <v>211247</v>
      </c>
      <c r="T5" s="57">
        <v>317350</v>
      </c>
      <c r="U5" s="116">
        <v>954073</v>
      </c>
      <c r="V5" s="57">
        <v>217993</v>
      </c>
      <c r="W5" s="57">
        <v>213974</v>
      </c>
      <c r="Y5" s="145"/>
    </row>
    <row r="6" spans="1:25" s="2" customFormat="1" ht="15" customHeight="1" x14ac:dyDescent="0.35">
      <c r="A6" s="2" t="s">
        <v>88</v>
      </c>
      <c r="B6" s="66">
        <v>132208</v>
      </c>
      <c r="C6" s="66">
        <v>126807</v>
      </c>
      <c r="D6" s="66">
        <v>137185</v>
      </c>
      <c r="E6" s="66">
        <v>144905</v>
      </c>
      <c r="F6" s="77">
        <v>541105</v>
      </c>
      <c r="G6" s="66">
        <v>159405</v>
      </c>
      <c r="H6" s="66">
        <v>153899</v>
      </c>
      <c r="I6" s="66">
        <v>157921</v>
      </c>
      <c r="J6" s="66">
        <v>189298</v>
      </c>
      <c r="K6" s="77">
        <v>660523</v>
      </c>
      <c r="L6" s="66">
        <v>189092</v>
      </c>
      <c r="M6" s="66">
        <v>191682</v>
      </c>
      <c r="N6" s="66">
        <v>207168</v>
      </c>
      <c r="O6" s="66">
        <v>221019</v>
      </c>
      <c r="P6" s="77">
        <v>808961</v>
      </c>
      <c r="Q6" s="66">
        <v>222611</v>
      </c>
      <c r="R6" s="66">
        <v>201080</v>
      </c>
      <c r="S6" s="66">
        <v>195230</v>
      </c>
      <c r="T6" s="66">
        <v>220904</v>
      </c>
      <c r="U6" s="77">
        <v>839825</v>
      </c>
      <c r="V6" s="66">
        <v>209643</v>
      </c>
      <c r="W6" s="66">
        <v>194359</v>
      </c>
    </row>
    <row r="7" spans="1:25" s="2" customFormat="1" ht="15" customHeight="1" x14ac:dyDescent="0.35">
      <c r="A7" s="2" t="s">
        <v>89</v>
      </c>
      <c r="B7" s="68">
        <v>61340</v>
      </c>
      <c r="C7" s="68">
        <v>61627</v>
      </c>
      <c r="D7" s="68">
        <v>71465</v>
      </c>
      <c r="E7" s="68">
        <v>81980</v>
      </c>
      <c r="F7" s="80">
        <v>276411</v>
      </c>
      <c r="G7" s="68">
        <v>94674</v>
      </c>
      <c r="H7" s="68">
        <v>96780</v>
      </c>
      <c r="I7" s="68">
        <v>105207</v>
      </c>
      <c r="J7" s="68">
        <v>111089</v>
      </c>
      <c r="K7" s="80">
        <v>407750</v>
      </c>
      <c r="L7" s="68">
        <v>119562</v>
      </c>
      <c r="M7" s="68">
        <v>120948</v>
      </c>
      <c r="N7" s="68">
        <v>128479</v>
      </c>
      <c r="O7" s="68">
        <v>128316</v>
      </c>
      <c r="P7" s="80">
        <v>497307</v>
      </c>
      <c r="Q7" s="66">
        <v>128858</v>
      </c>
      <c r="R7" s="66">
        <v>123324</v>
      </c>
      <c r="S7" s="68">
        <v>122392</v>
      </c>
      <c r="T7" s="68">
        <v>131842</v>
      </c>
      <c r="U7" s="80">
        <v>506416</v>
      </c>
      <c r="V7" s="66">
        <v>130487</v>
      </c>
      <c r="W7" s="66">
        <v>119814</v>
      </c>
    </row>
    <row r="8" spans="1:25" s="2" customFormat="1" ht="15" customHeight="1" thickBot="1" x14ac:dyDescent="0.45">
      <c r="A8" s="1" t="s">
        <v>90</v>
      </c>
      <c r="B8" s="113">
        <f t="shared" ref="B8:G8" si="0">SUM(B5:B7)</f>
        <v>294172</v>
      </c>
      <c r="C8" s="113">
        <f t="shared" si="0"/>
        <v>299306</v>
      </c>
      <c r="D8" s="113">
        <f t="shared" si="0"/>
        <v>332674</v>
      </c>
      <c r="E8" s="113">
        <f t="shared" si="0"/>
        <v>397018</v>
      </c>
      <c r="F8" s="117">
        <f t="shared" si="0"/>
        <v>1323169</v>
      </c>
      <c r="G8" s="113">
        <f t="shared" si="0"/>
        <v>401253</v>
      </c>
      <c r="H8" s="113">
        <f>SUM(H5:H7)</f>
        <v>407201</v>
      </c>
      <c r="I8" s="113">
        <f>SUM(I5:I7)</f>
        <v>423867</v>
      </c>
      <c r="J8" s="113">
        <f t="shared" ref="J8:K8" si="1">SUM(J5:J7)</f>
        <v>566825</v>
      </c>
      <c r="K8" s="117">
        <f t="shared" si="1"/>
        <v>1799146</v>
      </c>
      <c r="L8" s="113">
        <f>SUM(L5:L7)</f>
        <v>516667</v>
      </c>
      <c r="M8" s="113">
        <f>SUM(M5:M7)</f>
        <v>542022</v>
      </c>
      <c r="N8" s="113">
        <f>SUM(N5:N7)</f>
        <v>563973</v>
      </c>
      <c r="O8" s="113">
        <f t="shared" ref="O8:P8" si="2">SUM(O5:O7)</f>
        <v>674031</v>
      </c>
      <c r="P8" s="117">
        <f t="shared" si="2"/>
        <v>2296692</v>
      </c>
      <c r="Q8" s="113">
        <f>SUM(Q5:Q7)</f>
        <v>564164</v>
      </c>
      <c r="R8" s="113">
        <f>SUM(R5:R7)</f>
        <v>537185</v>
      </c>
      <c r="S8" s="113">
        <f>SUM(S5:S7)</f>
        <v>528869</v>
      </c>
      <c r="T8" s="113">
        <f t="shared" ref="T8:U8" si="3">SUM(T5:T7)</f>
        <v>670096</v>
      </c>
      <c r="U8" s="117">
        <f t="shared" si="3"/>
        <v>2300314</v>
      </c>
      <c r="V8" s="113">
        <f>SUM(V5:V7)</f>
        <v>558123</v>
      </c>
      <c r="W8" s="113">
        <f>SUM(W5:W7)</f>
        <v>528147</v>
      </c>
      <c r="Y8" s="145"/>
    </row>
    <row r="9" spans="1:25" s="2" customFormat="1" ht="15" customHeight="1" thickTop="1" x14ac:dyDescent="0.35">
      <c r="B9" s="15"/>
      <c r="C9" s="15"/>
      <c r="D9" s="15"/>
      <c r="E9" s="15"/>
      <c r="F9" s="22"/>
      <c r="G9" s="15"/>
      <c r="H9" s="15"/>
      <c r="I9" s="15"/>
      <c r="J9" s="15"/>
      <c r="K9" s="22"/>
      <c r="L9" s="15"/>
      <c r="M9" s="15"/>
      <c r="N9" s="15"/>
      <c r="O9" s="15"/>
      <c r="P9" s="22"/>
      <c r="Q9" s="15"/>
      <c r="R9" s="15"/>
      <c r="S9" s="15"/>
      <c r="T9" s="15"/>
      <c r="U9" s="22"/>
      <c r="V9" s="15"/>
      <c r="W9" s="15"/>
    </row>
    <row r="10" spans="1:25" s="2" customFormat="1" ht="15" customHeight="1" x14ac:dyDescent="0.4">
      <c r="A10" s="1" t="s">
        <v>91</v>
      </c>
      <c r="B10" s="15"/>
      <c r="C10" s="15"/>
      <c r="D10" s="15"/>
      <c r="E10" s="15"/>
      <c r="F10" s="22"/>
      <c r="G10" s="15"/>
      <c r="H10" s="15"/>
      <c r="I10" s="15"/>
      <c r="J10" s="15"/>
      <c r="K10" s="22"/>
      <c r="L10" s="15"/>
      <c r="M10" s="15"/>
      <c r="N10" s="15"/>
      <c r="O10" s="15"/>
      <c r="P10" s="22"/>
      <c r="Q10" s="15"/>
      <c r="R10" s="15"/>
      <c r="S10" s="15"/>
      <c r="T10" s="15"/>
      <c r="U10" s="22"/>
      <c r="V10" s="15"/>
      <c r="W10" s="15"/>
    </row>
    <row r="11" spans="1:25" s="2" customFormat="1" ht="15" customHeight="1" x14ac:dyDescent="0.35">
      <c r="A11" s="2" t="s">
        <v>87</v>
      </c>
      <c r="B11" s="66">
        <v>-61244</v>
      </c>
      <c r="C11" s="66">
        <v>-66853</v>
      </c>
      <c r="D11" s="66">
        <v>-75684</v>
      </c>
      <c r="E11" s="66">
        <v>-104646</v>
      </c>
      <c r="F11" s="77">
        <v>-308427</v>
      </c>
      <c r="G11" s="66">
        <v>-90929</v>
      </c>
      <c r="H11" s="66">
        <v>-96560</v>
      </c>
      <c r="I11" s="66">
        <v>-97239</v>
      </c>
      <c r="J11" s="66">
        <v>-167046</v>
      </c>
      <c r="K11" s="77">
        <v>-451774</v>
      </c>
      <c r="L11" s="66">
        <v>-128867</v>
      </c>
      <c r="M11" s="66">
        <v>-145289</v>
      </c>
      <c r="N11" s="66">
        <v>-141869</v>
      </c>
      <c r="O11" s="66">
        <v>-203368</v>
      </c>
      <c r="P11" s="77">
        <v>-619393</v>
      </c>
      <c r="Q11" s="66">
        <v>-131521</v>
      </c>
      <c r="R11" s="66">
        <v>-125502</v>
      </c>
      <c r="S11" s="66">
        <v>-126406</v>
      </c>
      <c r="T11" s="66">
        <v>-196168</v>
      </c>
      <c r="U11" s="77">
        <v>-579597</v>
      </c>
      <c r="V11" s="66">
        <v>-131545</v>
      </c>
      <c r="W11" s="66">
        <v>-129491</v>
      </c>
    </row>
    <row r="12" spans="1:25" s="2" customFormat="1" ht="15" customHeight="1" x14ac:dyDescent="0.35">
      <c r="A12" s="2" t="s">
        <v>88</v>
      </c>
      <c r="B12" s="66">
        <v>-78158</v>
      </c>
      <c r="C12" s="66">
        <v>-73155</v>
      </c>
      <c r="D12" s="66">
        <v>-79710</v>
      </c>
      <c r="E12" s="66">
        <v>-82905</v>
      </c>
      <c r="F12" s="77">
        <v>-313928</v>
      </c>
      <c r="G12" s="66">
        <v>-91185</v>
      </c>
      <c r="H12" s="66">
        <v>-86820</v>
      </c>
      <c r="I12" s="66">
        <v>-87092</v>
      </c>
      <c r="J12" s="66">
        <v>-108567</v>
      </c>
      <c r="K12" s="77">
        <v>-373664</v>
      </c>
      <c r="L12" s="66">
        <v>-107583</v>
      </c>
      <c r="M12" s="66">
        <v>-106605</v>
      </c>
      <c r="N12" s="66">
        <v>-115446</v>
      </c>
      <c r="O12" s="66">
        <v>-120662</v>
      </c>
      <c r="P12" s="77">
        <v>-450297</v>
      </c>
      <c r="Q12" s="66">
        <v>-119893</v>
      </c>
      <c r="R12" s="66">
        <v>-112577</v>
      </c>
      <c r="S12" s="66">
        <v>-111131</v>
      </c>
      <c r="T12" s="66">
        <v>-128053</v>
      </c>
      <c r="U12" s="77">
        <v>-471654</v>
      </c>
      <c r="V12" s="66">
        <v>-117291</v>
      </c>
      <c r="W12" s="66">
        <v>-107401</v>
      </c>
    </row>
    <row r="13" spans="1:25" s="2" customFormat="1" ht="15" customHeight="1" x14ac:dyDescent="0.35">
      <c r="A13" s="2" t="s">
        <v>89</v>
      </c>
      <c r="B13" s="68">
        <v>-36486</v>
      </c>
      <c r="C13" s="68">
        <v>-37231</v>
      </c>
      <c r="D13" s="68">
        <v>-43576</v>
      </c>
      <c r="E13" s="68">
        <v>-49505</v>
      </c>
      <c r="F13" s="80">
        <v>-166797</v>
      </c>
      <c r="G13" s="68">
        <v>-56641</v>
      </c>
      <c r="H13" s="68">
        <v>-57589</v>
      </c>
      <c r="I13" s="68">
        <v>-62979</v>
      </c>
      <c r="J13" s="68">
        <v>-66264</v>
      </c>
      <c r="K13" s="80">
        <v>-243473</v>
      </c>
      <c r="L13" s="68">
        <v>-70243</v>
      </c>
      <c r="M13" s="68">
        <v>-70306</v>
      </c>
      <c r="N13" s="68">
        <v>-72261</v>
      </c>
      <c r="O13" s="68">
        <v>-73057</v>
      </c>
      <c r="P13" s="80">
        <v>-285866</v>
      </c>
      <c r="Q13" s="66">
        <v>-72332</v>
      </c>
      <c r="R13" s="66">
        <v>-68884</v>
      </c>
      <c r="S13" s="68">
        <v>-67850</v>
      </c>
      <c r="T13" s="68">
        <v>-74017</v>
      </c>
      <c r="U13" s="80">
        <v>-283083</v>
      </c>
      <c r="V13" s="66">
        <v>-73593</v>
      </c>
      <c r="W13" s="66">
        <v>-67337</v>
      </c>
    </row>
    <row r="14" spans="1:25" s="2" customFormat="1" ht="15" customHeight="1" thickBot="1" x14ac:dyDescent="0.45">
      <c r="A14" s="1" t="s">
        <v>90</v>
      </c>
      <c r="B14" s="113">
        <f t="shared" ref="B14:P14" si="4">SUM(B11:B13)</f>
        <v>-175888</v>
      </c>
      <c r="C14" s="113">
        <f t="shared" si="4"/>
        <v>-177239</v>
      </c>
      <c r="D14" s="113">
        <f t="shared" si="4"/>
        <v>-198970</v>
      </c>
      <c r="E14" s="113">
        <f t="shared" si="4"/>
        <v>-237056</v>
      </c>
      <c r="F14" s="117">
        <f t="shared" si="4"/>
        <v>-789152</v>
      </c>
      <c r="G14" s="113">
        <f t="shared" si="4"/>
        <v>-238755</v>
      </c>
      <c r="H14" s="113">
        <f t="shared" si="4"/>
        <v>-240969</v>
      </c>
      <c r="I14" s="113">
        <f t="shared" si="4"/>
        <v>-247310</v>
      </c>
      <c r="J14" s="113">
        <f t="shared" si="4"/>
        <v>-341877</v>
      </c>
      <c r="K14" s="117">
        <f t="shared" si="4"/>
        <v>-1068911</v>
      </c>
      <c r="L14" s="113">
        <f t="shared" si="4"/>
        <v>-306693</v>
      </c>
      <c r="M14" s="113">
        <f t="shared" si="4"/>
        <v>-322200</v>
      </c>
      <c r="N14" s="113">
        <f t="shared" si="4"/>
        <v>-329576</v>
      </c>
      <c r="O14" s="113">
        <f t="shared" si="4"/>
        <v>-397087</v>
      </c>
      <c r="P14" s="117">
        <f t="shared" si="4"/>
        <v>-1355556</v>
      </c>
      <c r="Q14" s="113">
        <f>SUM(Q11:Q13)</f>
        <v>-323746</v>
      </c>
      <c r="R14" s="113">
        <f>SUM(R11:R13)</f>
        <v>-306963</v>
      </c>
      <c r="S14" s="113">
        <f>SUM(S11:S13)</f>
        <v>-305387</v>
      </c>
      <c r="T14" s="113">
        <f t="shared" ref="T14:U14" si="5">SUM(T11:T13)</f>
        <v>-398238</v>
      </c>
      <c r="U14" s="117">
        <f t="shared" si="5"/>
        <v>-1334334</v>
      </c>
      <c r="V14" s="113">
        <f>SUM(V11:V13)</f>
        <v>-322429</v>
      </c>
      <c r="W14" s="113">
        <f>SUM(W11:W13)</f>
        <v>-304229</v>
      </c>
      <c r="Y14" s="145"/>
    </row>
    <row r="15" spans="1:25" s="2" customFormat="1" ht="15" customHeight="1" thickTop="1" x14ac:dyDescent="0.35">
      <c r="B15" s="15"/>
      <c r="C15" s="15"/>
      <c r="D15" s="15"/>
      <c r="E15" s="15"/>
      <c r="F15" s="22"/>
      <c r="G15" s="15"/>
      <c r="H15" s="15"/>
      <c r="I15" s="15"/>
      <c r="J15" s="15"/>
      <c r="K15" s="22"/>
      <c r="L15" s="15"/>
      <c r="M15" s="15"/>
      <c r="N15" s="15"/>
      <c r="O15" s="15"/>
      <c r="P15" s="22"/>
      <c r="Q15" s="15"/>
      <c r="R15" s="15"/>
      <c r="S15" s="15"/>
      <c r="T15" s="15"/>
      <c r="U15" s="22"/>
      <c r="V15" s="15"/>
      <c r="W15" s="15"/>
    </row>
    <row r="16" spans="1:25" s="2" customFormat="1" ht="15" customHeight="1" x14ac:dyDescent="0.35">
      <c r="A16" s="2" t="s">
        <v>184</v>
      </c>
      <c r="B16" s="15"/>
      <c r="C16" s="15"/>
      <c r="D16" s="15"/>
      <c r="E16" s="15"/>
      <c r="F16" s="22"/>
      <c r="G16" s="15"/>
      <c r="H16" s="15"/>
      <c r="I16" s="15"/>
      <c r="J16" s="15"/>
      <c r="K16" s="22"/>
      <c r="L16" s="15"/>
      <c r="M16" s="15"/>
      <c r="N16" s="15"/>
      <c r="O16" s="15"/>
      <c r="P16" s="22"/>
      <c r="Q16" s="15"/>
      <c r="R16" s="15"/>
      <c r="S16" s="15"/>
      <c r="T16" s="15"/>
      <c r="U16" s="22"/>
      <c r="V16" s="15"/>
      <c r="W16" s="15"/>
    </row>
    <row r="17" spans="1:25" s="2" customFormat="1" ht="15" customHeight="1" x14ac:dyDescent="0.35">
      <c r="A17" s="2" t="s">
        <v>87</v>
      </c>
      <c r="B17" s="114">
        <f t="shared" ref="B17:P17" si="6">B5+B11</f>
        <v>39380</v>
      </c>
      <c r="C17" s="114">
        <f t="shared" si="6"/>
        <v>44019</v>
      </c>
      <c r="D17" s="114">
        <f t="shared" si="6"/>
        <v>48340</v>
      </c>
      <c r="E17" s="114">
        <f t="shared" si="6"/>
        <v>65487</v>
      </c>
      <c r="F17" s="118">
        <f t="shared" si="6"/>
        <v>197226</v>
      </c>
      <c r="G17" s="114">
        <f t="shared" si="6"/>
        <v>56245</v>
      </c>
      <c r="H17" s="114">
        <f t="shared" si="6"/>
        <v>59962</v>
      </c>
      <c r="I17" s="114">
        <f t="shared" si="6"/>
        <v>63500</v>
      </c>
      <c r="J17" s="114">
        <f t="shared" si="6"/>
        <v>99392</v>
      </c>
      <c r="K17" s="118">
        <f t="shared" si="6"/>
        <v>279099</v>
      </c>
      <c r="L17" s="114">
        <f t="shared" si="6"/>
        <v>79146</v>
      </c>
      <c r="M17" s="114">
        <f t="shared" si="6"/>
        <v>84103</v>
      </c>
      <c r="N17" s="114">
        <f t="shared" si="6"/>
        <v>86457</v>
      </c>
      <c r="O17" s="114">
        <f t="shared" si="6"/>
        <v>121328</v>
      </c>
      <c r="P17" s="118">
        <f t="shared" si="6"/>
        <v>371031</v>
      </c>
      <c r="Q17" s="114">
        <f t="shared" ref="Q17:R19" si="7">Q5+Q11</f>
        <v>81174</v>
      </c>
      <c r="R17" s="114">
        <f t="shared" si="7"/>
        <v>87279</v>
      </c>
      <c r="S17" s="114">
        <f t="shared" ref="S17:W17" si="8">S5+S11</f>
        <v>84841</v>
      </c>
      <c r="T17" s="114">
        <f t="shared" si="8"/>
        <v>121182</v>
      </c>
      <c r="U17" s="118">
        <f t="shared" si="8"/>
        <v>374476</v>
      </c>
      <c r="V17" s="114">
        <f t="shared" si="8"/>
        <v>86448</v>
      </c>
      <c r="W17" s="114">
        <f t="shared" si="8"/>
        <v>84483</v>
      </c>
      <c r="Y17" s="145"/>
    </row>
    <row r="18" spans="1:25" s="2" customFormat="1" ht="15" customHeight="1" x14ac:dyDescent="0.35">
      <c r="A18" s="2" t="s">
        <v>88</v>
      </c>
      <c r="B18" s="114">
        <f t="shared" ref="B18:P18" si="9">B6+B12</f>
        <v>54050</v>
      </c>
      <c r="C18" s="114">
        <f t="shared" si="9"/>
        <v>53652</v>
      </c>
      <c r="D18" s="114">
        <f t="shared" si="9"/>
        <v>57475</v>
      </c>
      <c r="E18" s="114">
        <f t="shared" si="9"/>
        <v>62000</v>
      </c>
      <c r="F18" s="118">
        <f t="shared" si="9"/>
        <v>227177</v>
      </c>
      <c r="G18" s="114">
        <f t="shared" si="9"/>
        <v>68220</v>
      </c>
      <c r="H18" s="114">
        <f t="shared" si="9"/>
        <v>67079</v>
      </c>
      <c r="I18" s="114">
        <f t="shared" si="9"/>
        <v>70829</v>
      </c>
      <c r="J18" s="114">
        <f t="shared" si="9"/>
        <v>80731</v>
      </c>
      <c r="K18" s="118">
        <f t="shared" si="9"/>
        <v>286859</v>
      </c>
      <c r="L18" s="114">
        <f t="shared" si="9"/>
        <v>81509</v>
      </c>
      <c r="M18" s="114">
        <f t="shared" si="9"/>
        <v>85077</v>
      </c>
      <c r="N18" s="114">
        <f t="shared" si="9"/>
        <v>91722</v>
      </c>
      <c r="O18" s="114">
        <f t="shared" si="9"/>
        <v>100357</v>
      </c>
      <c r="P18" s="118">
        <f t="shared" si="9"/>
        <v>358664</v>
      </c>
      <c r="Q18" s="114">
        <f t="shared" si="7"/>
        <v>102718</v>
      </c>
      <c r="R18" s="114">
        <f t="shared" si="7"/>
        <v>88503</v>
      </c>
      <c r="S18" s="114">
        <f t="shared" ref="S18:W18" si="10">S6+S12</f>
        <v>84099</v>
      </c>
      <c r="T18" s="114">
        <f t="shared" si="10"/>
        <v>92851</v>
      </c>
      <c r="U18" s="118">
        <f t="shared" si="10"/>
        <v>368171</v>
      </c>
      <c r="V18" s="114">
        <f t="shared" si="10"/>
        <v>92352</v>
      </c>
      <c r="W18" s="114">
        <f t="shared" si="10"/>
        <v>86958</v>
      </c>
      <c r="Y18" s="145"/>
    </row>
    <row r="19" spans="1:25" s="2" customFormat="1" ht="15" customHeight="1" x14ac:dyDescent="0.35">
      <c r="A19" s="2" t="s">
        <v>89</v>
      </c>
      <c r="B19" s="114">
        <f t="shared" ref="B19:P19" si="11">B7+B13</f>
        <v>24854</v>
      </c>
      <c r="C19" s="114">
        <f t="shared" si="11"/>
        <v>24396</v>
      </c>
      <c r="D19" s="114">
        <f t="shared" si="11"/>
        <v>27889</v>
      </c>
      <c r="E19" s="114">
        <f t="shared" si="11"/>
        <v>32475</v>
      </c>
      <c r="F19" s="118">
        <f t="shared" si="11"/>
        <v>109614</v>
      </c>
      <c r="G19" s="114">
        <f t="shared" si="11"/>
        <v>38033</v>
      </c>
      <c r="H19" s="114">
        <f t="shared" si="11"/>
        <v>39191</v>
      </c>
      <c r="I19" s="114">
        <f t="shared" si="11"/>
        <v>42228</v>
      </c>
      <c r="J19" s="114">
        <f t="shared" si="11"/>
        <v>44825</v>
      </c>
      <c r="K19" s="118">
        <f t="shared" si="11"/>
        <v>164277</v>
      </c>
      <c r="L19" s="114">
        <f t="shared" si="11"/>
        <v>49319</v>
      </c>
      <c r="M19" s="114">
        <f t="shared" si="11"/>
        <v>50642</v>
      </c>
      <c r="N19" s="114">
        <f t="shared" si="11"/>
        <v>56218</v>
      </c>
      <c r="O19" s="114">
        <f t="shared" si="11"/>
        <v>55259</v>
      </c>
      <c r="P19" s="118">
        <f t="shared" si="11"/>
        <v>211441</v>
      </c>
      <c r="Q19" s="114">
        <f t="shared" si="7"/>
        <v>56526</v>
      </c>
      <c r="R19" s="114">
        <f t="shared" si="7"/>
        <v>54440</v>
      </c>
      <c r="S19" s="114">
        <f t="shared" ref="S19:W19" si="12">S7+S13</f>
        <v>54542</v>
      </c>
      <c r="T19" s="114">
        <f t="shared" si="12"/>
        <v>57825</v>
      </c>
      <c r="U19" s="118">
        <f t="shared" si="12"/>
        <v>223333</v>
      </c>
      <c r="V19" s="114">
        <f t="shared" si="12"/>
        <v>56894</v>
      </c>
      <c r="W19" s="114">
        <f t="shared" si="12"/>
        <v>52477</v>
      </c>
      <c r="Y19" s="145"/>
    </row>
    <row r="20" spans="1:25" s="2" customFormat="1" ht="15" customHeight="1" thickBot="1" x14ac:dyDescent="0.45">
      <c r="A20" s="1" t="s">
        <v>90</v>
      </c>
      <c r="B20" s="115">
        <f t="shared" ref="B20:P20" si="13">SUM(B17:B19)</f>
        <v>118284</v>
      </c>
      <c r="C20" s="115">
        <f t="shared" si="13"/>
        <v>122067</v>
      </c>
      <c r="D20" s="115">
        <f t="shared" si="13"/>
        <v>133704</v>
      </c>
      <c r="E20" s="115">
        <f t="shared" si="13"/>
        <v>159962</v>
      </c>
      <c r="F20" s="119">
        <f t="shared" si="13"/>
        <v>534017</v>
      </c>
      <c r="G20" s="115">
        <f t="shared" si="13"/>
        <v>162498</v>
      </c>
      <c r="H20" s="115">
        <f t="shared" si="13"/>
        <v>166232</v>
      </c>
      <c r="I20" s="115">
        <f t="shared" si="13"/>
        <v>176557</v>
      </c>
      <c r="J20" s="115">
        <f t="shared" si="13"/>
        <v>224948</v>
      </c>
      <c r="K20" s="119">
        <f t="shared" si="13"/>
        <v>730235</v>
      </c>
      <c r="L20" s="115">
        <f t="shared" si="13"/>
        <v>209974</v>
      </c>
      <c r="M20" s="115">
        <f t="shared" si="13"/>
        <v>219822</v>
      </c>
      <c r="N20" s="115">
        <f t="shared" si="13"/>
        <v>234397</v>
      </c>
      <c r="O20" s="115">
        <f t="shared" si="13"/>
        <v>276944</v>
      </c>
      <c r="P20" s="119">
        <f t="shared" si="13"/>
        <v>941136</v>
      </c>
      <c r="Q20" s="115">
        <f>SUM(Q17:Q19)</f>
        <v>240418</v>
      </c>
      <c r="R20" s="115">
        <f>SUM(R17:R19)</f>
        <v>230222</v>
      </c>
      <c r="S20" s="115">
        <f>SUM(S17:S19)</f>
        <v>223482</v>
      </c>
      <c r="T20" s="115">
        <f t="shared" ref="T20:U20" si="14">SUM(T17:T19)</f>
        <v>271858</v>
      </c>
      <c r="U20" s="119">
        <f t="shared" si="14"/>
        <v>965980</v>
      </c>
      <c r="V20" s="115">
        <f>SUM(V17:V19)</f>
        <v>235694</v>
      </c>
      <c r="W20" s="115">
        <f>SUM(W17:W19)</f>
        <v>223918</v>
      </c>
      <c r="Y20" s="145"/>
    </row>
    <row r="21" spans="1:25" s="2" customFormat="1" ht="15" customHeight="1" thickTop="1" x14ac:dyDescent="0.35">
      <c r="F21" s="22"/>
      <c r="K21" s="22"/>
      <c r="P21" s="22"/>
      <c r="R21" s="56"/>
      <c r="S21" s="56"/>
      <c r="T21" s="56"/>
      <c r="U21" s="22"/>
      <c r="V21" s="56"/>
      <c r="W21" s="56"/>
    </row>
    <row r="22" spans="1:25" ht="15" customHeight="1" x14ac:dyDescent="0.35"/>
    <row r="23" spans="1:25" ht="122.65" customHeight="1" x14ac:dyDescent="0.35">
      <c r="A23" s="173" t="s">
        <v>185</v>
      </c>
      <c r="B23" s="173"/>
      <c r="C23" s="173"/>
      <c r="D23" s="173"/>
      <c r="E23" s="173"/>
      <c r="F23" s="173"/>
      <c r="G23" s="173"/>
      <c r="H23" s="173"/>
      <c r="I23" s="173"/>
      <c r="J23" s="173"/>
      <c r="K23" s="173"/>
      <c r="L23" s="173"/>
      <c r="M23" s="173"/>
      <c r="N23" s="173"/>
      <c r="O23" s="173"/>
      <c r="P23" s="173"/>
      <c r="Q23" s="173"/>
      <c r="R23" s="173"/>
      <c r="S23" s="173"/>
      <c r="T23" s="173"/>
      <c r="U23" s="173"/>
      <c r="V23" s="173"/>
      <c r="W23" s="173"/>
    </row>
    <row r="24" spans="1:25" ht="15" customHeight="1" x14ac:dyDescent="0.35"/>
    <row r="25" spans="1:25" ht="15" customHeight="1" x14ac:dyDescent="0.35"/>
    <row r="26" spans="1:25" ht="15" customHeight="1" x14ac:dyDescent="0.35"/>
    <row r="27" spans="1:25" ht="15" customHeight="1" x14ac:dyDescent="0.35"/>
    <row r="28" spans="1:25" ht="15" customHeight="1" x14ac:dyDescent="0.35"/>
    <row r="29" spans="1:25" ht="15" customHeight="1" x14ac:dyDescent="0.35"/>
    <row r="30" spans="1:25" ht="15" customHeight="1" x14ac:dyDescent="0.35"/>
    <row r="31" spans="1:25" ht="15" customHeight="1" x14ac:dyDescent="0.35"/>
    <row r="32" spans="1:25"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sheetData>
  <mergeCells count="1">
    <mergeCell ref="A23:W23"/>
  </mergeCells>
  <pageMargins left="0.7" right="0.7" top="0.75" bottom="0.75" header="0.3" footer="0.3"/>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9"/>
  <sheetViews>
    <sheetView showGridLines="0" zoomScale="70" zoomScaleNormal="70" workbookViewId="0"/>
  </sheetViews>
  <sheetFormatPr defaultColWidth="12.640625" defaultRowHeight="12.75" x14ac:dyDescent="0.35"/>
  <cols>
    <col min="1" max="1" width="43.42578125" style="15" bestFit="1" customWidth="1"/>
    <col min="2" max="16384" width="12.640625" style="15"/>
  </cols>
  <sheetData>
    <row r="1" spans="1:23" ht="14" customHeight="1" x14ac:dyDescent="0.4">
      <c r="A1" s="25" t="s">
        <v>92</v>
      </c>
    </row>
    <row r="2" spans="1:23" x14ac:dyDescent="0.35">
      <c r="A2" s="16" t="s">
        <v>169</v>
      </c>
    </row>
    <row r="3" spans="1:23" s="2" customFormat="1" ht="24" customHeight="1" x14ac:dyDescent="0.4">
      <c r="A3" s="1"/>
      <c r="B3" s="29" t="s">
        <v>159</v>
      </c>
      <c r="C3" s="29" t="s">
        <v>162</v>
      </c>
      <c r="D3" s="29" t="s">
        <v>161</v>
      </c>
      <c r="E3" s="29" t="s">
        <v>160</v>
      </c>
      <c r="F3" s="30" t="s">
        <v>158</v>
      </c>
      <c r="G3" s="29" t="s">
        <v>157</v>
      </c>
      <c r="H3" s="29" t="s">
        <v>156</v>
      </c>
      <c r="I3" s="29" t="s">
        <v>155</v>
      </c>
      <c r="J3" s="29" t="s">
        <v>151</v>
      </c>
      <c r="K3" s="30" t="s">
        <v>150</v>
      </c>
      <c r="L3" s="29" t="s">
        <v>147</v>
      </c>
      <c r="M3" s="29" t="s">
        <v>153</v>
      </c>
      <c r="N3" s="29" t="s">
        <v>154</v>
      </c>
      <c r="O3" s="29" t="s">
        <v>152</v>
      </c>
      <c r="P3" s="30" t="s">
        <v>149</v>
      </c>
      <c r="Q3" s="29" t="s">
        <v>146</v>
      </c>
      <c r="R3" s="29" t="s">
        <v>213</v>
      </c>
      <c r="S3" s="29" t="s">
        <v>216</v>
      </c>
      <c r="T3" s="29" t="s">
        <v>220</v>
      </c>
      <c r="U3" s="30" t="s">
        <v>221</v>
      </c>
      <c r="V3" s="29" t="s">
        <v>227</v>
      </c>
      <c r="W3" s="29" t="s">
        <v>235</v>
      </c>
    </row>
    <row r="4" spans="1:23" s="2" customFormat="1" ht="15" customHeight="1" x14ac:dyDescent="0.4">
      <c r="A4" s="1" t="s">
        <v>63</v>
      </c>
      <c r="B4" s="98">
        <f>'P&amp;L'!B22</f>
        <v>13617</v>
      </c>
      <c r="C4" s="98">
        <f>'P&amp;L'!C22</f>
        <v>3929</v>
      </c>
      <c r="D4" s="98">
        <f>'P&amp;L'!D22</f>
        <v>5793</v>
      </c>
      <c r="E4" s="98">
        <f>'P&amp;L'!E22</f>
        <v>38938</v>
      </c>
      <c r="F4" s="100">
        <f>'P&amp;L'!F22</f>
        <v>62276</v>
      </c>
      <c r="G4" s="98">
        <f>'P&amp;L'!G22</f>
        <v>18527</v>
      </c>
      <c r="H4" s="98">
        <f>'P&amp;L'!H22</f>
        <v>13339</v>
      </c>
      <c r="I4" s="98">
        <f>'P&amp;L'!I22</f>
        <v>14724</v>
      </c>
      <c r="J4" s="98">
        <f>'P&amp;L'!J22</f>
        <v>40740</v>
      </c>
      <c r="K4" s="100">
        <f>'P&amp;L'!K22</f>
        <v>87329</v>
      </c>
      <c r="L4" s="98">
        <f>'P&amp;L'!L22</f>
        <v>14518</v>
      </c>
      <c r="M4" s="98">
        <f>'P&amp;L'!M22</f>
        <v>7505</v>
      </c>
      <c r="N4" s="98">
        <f>'P&amp;L'!N22</f>
        <v>22269</v>
      </c>
      <c r="O4" s="98">
        <f>'P&amp;L'!O22</f>
        <v>52368</v>
      </c>
      <c r="P4" s="100">
        <f>'P&amp;L'!P22</f>
        <v>96659</v>
      </c>
      <c r="Q4" s="98">
        <f>'P&amp;L'!Q22</f>
        <v>21090</v>
      </c>
      <c r="R4" s="98">
        <f>'P&amp;L'!R22</f>
        <v>14707</v>
      </c>
      <c r="S4" s="98">
        <f>'P&amp;L'!S22</f>
        <v>17948</v>
      </c>
      <c r="T4" s="98">
        <f>'P&amp;L'!T22</f>
        <v>42134</v>
      </c>
      <c r="U4" s="100">
        <f>'P&amp;L'!U22</f>
        <v>95879</v>
      </c>
      <c r="V4" s="98">
        <f>'P&amp;L'!V22</f>
        <v>21401</v>
      </c>
      <c r="W4" s="98">
        <f>'P&amp;L'!W22</f>
        <v>12537</v>
      </c>
    </row>
    <row r="5" spans="1:23" s="2" customFormat="1" ht="15" customHeight="1" x14ac:dyDescent="0.35">
      <c r="A5" s="2" t="s">
        <v>93</v>
      </c>
      <c r="B5" s="99"/>
      <c r="C5" s="99"/>
      <c r="D5" s="99"/>
      <c r="E5" s="99"/>
      <c r="F5" s="101"/>
      <c r="G5" s="99"/>
      <c r="H5" s="99"/>
      <c r="I5" s="99"/>
      <c r="J5" s="99"/>
      <c r="K5" s="101"/>
      <c r="L5" s="99"/>
      <c r="M5" s="99"/>
      <c r="N5" s="99"/>
      <c r="O5" s="99"/>
      <c r="P5" s="101"/>
      <c r="Q5" s="99"/>
      <c r="R5" s="99"/>
      <c r="S5" s="99"/>
      <c r="T5" s="99"/>
      <c r="U5" s="101"/>
      <c r="V5" s="99"/>
      <c r="W5" s="99"/>
    </row>
    <row r="6" spans="1:23" s="2" customFormat="1" ht="15" customHeight="1" x14ac:dyDescent="0.35">
      <c r="A6" s="2" t="s">
        <v>94</v>
      </c>
      <c r="B6" s="89">
        <f>-'P&amp;L'!B19</f>
        <v>-3920</v>
      </c>
      <c r="C6" s="89">
        <f>-'P&amp;L'!C19</f>
        <v>2546</v>
      </c>
      <c r="D6" s="89">
        <f>-'P&amp;L'!D19</f>
        <v>6650</v>
      </c>
      <c r="E6" s="89">
        <f>-'P&amp;L'!E19</f>
        <v>-735</v>
      </c>
      <c r="F6" s="93">
        <f>-'P&amp;L'!F19</f>
        <v>4541</v>
      </c>
      <c r="G6" s="89">
        <f>-'P&amp;L'!G19</f>
        <v>1317</v>
      </c>
      <c r="H6" s="89">
        <f>-'P&amp;L'!H19</f>
        <v>94</v>
      </c>
      <c r="I6" s="89">
        <f>-'P&amp;L'!I19</f>
        <v>570</v>
      </c>
      <c r="J6" s="89">
        <f>-'P&amp;L'!J19</f>
        <v>-1435</v>
      </c>
      <c r="K6" s="93">
        <f>-'P&amp;L'!K19</f>
        <v>546</v>
      </c>
      <c r="L6" s="89">
        <f>-'P&amp;L'!L19</f>
        <v>2333</v>
      </c>
      <c r="M6" s="89">
        <f>-'P&amp;L'!M19</f>
        <v>2094</v>
      </c>
      <c r="N6" s="89">
        <f>-'P&amp;L'!N19</f>
        <v>2886</v>
      </c>
      <c r="O6" s="89">
        <f>-'P&amp;L'!O19</f>
        <v>2221</v>
      </c>
      <c r="P6" s="93">
        <f>-'P&amp;L'!P19</f>
        <v>9534</v>
      </c>
      <c r="Q6" s="89">
        <f>-'P&amp;L'!Q19</f>
        <v>1325</v>
      </c>
      <c r="R6" s="89">
        <f>-'P&amp;L'!R19</f>
        <v>1006</v>
      </c>
      <c r="S6" s="89">
        <f>-'P&amp;L'!S19</f>
        <v>1007</v>
      </c>
      <c r="T6" s="89">
        <f>-'P&amp;L'!T19</f>
        <v>1746</v>
      </c>
      <c r="U6" s="93">
        <f>-'P&amp;L'!U19</f>
        <v>5084</v>
      </c>
      <c r="V6" s="89">
        <f>-'P&amp;L'!V19</f>
        <v>1974</v>
      </c>
      <c r="W6" s="89">
        <f>-'P&amp;L'!W19</f>
        <v>1354</v>
      </c>
    </row>
    <row r="7" spans="1:23" s="2" customFormat="1" ht="15" customHeight="1" x14ac:dyDescent="0.35">
      <c r="A7" s="2" t="s">
        <v>55</v>
      </c>
      <c r="B7" s="89">
        <f>-'P&amp;L'!B21</f>
        <v>7143</v>
      </c>
      <c r="C7" s="89">
        <f>-'P&amp;L'!C21</f>
        <v>1365</v>
      </c>
      <c r="D7" s="89">
        <f>-'P&amp;L'!D21</f>
        <v>5388</v>
      </c>
      <c r="E7" s="89">
        <f>-'P&amp;L'!E21</f>
        <v>-4378</v>
      </c>
      <c r="F7" s="93">
        <f>-'P&amp;L'!F21</f>
        <v>9517</v>
      </c>
      <c r="G7" s="89">
        <f>-'P&amp;L'!G21</f>
        <v>7944</v>
      </c>
      <c r="H7" s="89">
        <f>-'P&amp;L'!H21</f>
        <v>4450</v>
      </c>
      <c r="I7" s="89">
        <f>-'P&amp;L'!I21</f>
        <v>7574</v>
      </c>
      <c r="J7" s="89">
        <f>-'P&amp;L'!J21</f>
        <v>13161</v>
      </c>
      <c r="K7" s="93">
        <f>-'P&amp;L'!K21</f>
        <v>33129</v>
      </c>
      <c r="L7" s="89">
        <f>-'P&amp;L'!L21</f>
        <v>4201</v>
      </c>
      <c r="M7" s="89">
        <f>-'P&amp;L'!M21</f>
        <v>3665</v>
      </c>
      <c r="N7" s="89">
        <f>-'P&amp;L'!N21</f>
        <v>7858</v>
      </c>
      <c r="O7" s="89">
        <f>-'P&amp;L'!O21</f>
        <v>15927</v>
      </c>
      <c r="P7" s="93">
        <f>-'P&amp;L'!P21</f>
        <v>31651</v>
      </c>
      <c r="Q7" s="89">
        <f>-'P&amp;L'!Q21</f>
        <v>12386</v>
      </c>
      <c r="R7" s="89">
        <f>-'P&amp;L'!R21</f>
        <v>8638</v>
      </c>
      <c r="S7" s="89">
        <f>-'P&amp;L'!S21</f>
        <v>6821</v>
      </c>
      <c r="T7" s="89">
        <f>-'P&amp;L'!T21</f>
        <v>18299</v>
      </c>
      <c r="U7" s="93">
        <f>-'P&amp;L'!U21</f>
        <v>46144</v>
      </c>
      <c r="V7" s="89">
        <f>-'P&amp;L'!V21</f>
        <v>10018</v>
      </c>
      <c r="W7" s="89">
        <f>-'P&amp;L'!W21</f>
        <v>5683</v>
      </c>
    </row>
    <row r="8" spans="1:23" s="2" customFormat="1" ht="15" customHeight="1" x14ac:dyDescent="0.35">
      <c r="A8" s="2" t="s">
        <v>95</v>
      </c>
      <c r="B8" s="69">
        <f t="shared" ref="B8:F8" si="0">SUM(B9:B11)</f>
        <v>6317</v>
      </c>
      <c r="C8" s="69">
        <f t="shared" si="0"/>
        <v>5325</v>
      </c>
      <c r="D8" s="69">
        <f t="shared" si="0"/>
        <v>4600</v>
      </c>
      <c r="E8" s="69">
        <f t="shared" si="0"/>
        <v>7748</v>
      </c>
      <c r="F8" s="81">
        <f t="shared" si="0"/>
        <v>23989</v>
      </c>
      <c r="G8" s="69">
        <f>SUM(G9:G11)</f>
        <v>8370</v>
      </c>
      <c r="H8" s="69">
        <f>SUM(H9:H11)</f>
        <v>7695</v>
      </c>
      <c r="I8" s="69">
        <f>SUM(I9:I11)</f>
        <v>13965</v>
      </c>
      <c r="J8" s="69">
        <f t="shared" ref="J8:K8" si="1">SUM(J9:J11)</f>
        <v>13229</v>
      </c>
      <c r="K8" s="81">
        <f t="shared" si="1"/>
        <v>43259</v>
      </c>
      <c r="L8" s="69">
        <f>SUM(L9:L11)</f>
        <v>14940</v>
      </c>
      <c r="M8" s="69">
        <f t="shared" ref="M8:P8" si="2">SUM(M9:M11)</f>
        <v>14918</v>
      </c>
      <c r="N8" s="69">
        <f>SUM(N9:N11)</f>
        <v>22028</v>
      </c>
      <c r="O8" s="69">
        <f t="shared" si="2"/>
        <v>20464</v>
      </c>
      <c r="P8" s="81">
        <f t="shared" si="2"/>
        <v>72351</v>
      </c>
      <c r="Q8" s="69">
        <f>SUM(Q9:Q11)</f>
        <v>19303</v>
      </c>
      <c r="R8" s="69">
        <f>SUM(R9:R11)</f>
        <v>20245</v>
      </c>
      <c r="S8" s="69">
        <f>SUM(S9:S11)</f>
        <v>17261</v>
      </c>
      <c r="T8" s="69">
        <f t="shared" ref="T8:U8" si="3">SUM(T9:T11)</f>
        <v>10267</v>
      </c>
      <c r="U8" s="81">
        <f t="shared" si="3"/>
        <v>67076</v>
      </c>
      <c r="V8" s="69">
        <f>SUM(V9:V11)</f>
        <v>13882</v>
      </c>
      <c r="W8" s="69">
        <f>SUM(W9:W11)</f>
        <v>14391</v>
      </c>
    </row>
    <row r="9" spans="1:23" s="2" customFormat="1" ht="15" customHeight="1" x14ac:dyDescent="0.35">
      <c r="A9" s="31" t="s">
        <v>96</v>
      </c>
      <c r="B9" s="58">
        <v>1478</v>
      </c>
      <c r="C9" s="58">
        <v>1162</v>
      </c>
      <c r="D9" s="58">
        <v>1714</v>
      </c>
      <c r="E9" s="58">
        <v>2167</v>
      </c>
      <c r="F9" s="102">
        <v>6520</v>
      </c>
      <c r="G9" s="58">
        <v>2402</v>
      </c>
      <c r="H9" s="58">
        <v>2179</v>
      </c>
      <c r="I9" s="58">
        <v>4667</v>
      </c>
      <c r="J9" s="58">
        <v>2860</v>
      </c>
      <c r="K9" s="102">
        <v>12108</v>
      </c>
      <c r="L9" s="58">
        <v>3916</v>
      </c>
      <c r="M9" s="58">
        <v>4461</v>
      </c>
      <c r="N9" s="58">
        <v>6361</v>
      </c>
      <c r="O9" s="58">
        <v>6355</v>
      </c>
      <c r="P9" s="102">
        <v>21093</v>
      </c>
      <c r="Q9" s="58">
        <v>4555</v>
      </c>
      <c r="R9" s="58">
        <v>6771</v>
      </c>
      <c r="S9" s="58">
        <v>4901</v>
      </c>
      <c r="T9" s="58">
        <v>5005</v>
      </c>
      <c r="U9" s="102">
        <v>21232</v>
      </c>
      <c r="V9" s="58">
        <v>4025</v>
      </c>
      <c r="W9" s="58">
        <v>4203</v>
      </c>
    </row>
    <row r="10" spans="1:23" s="2" customFormat="1" ht="15" customHeight="1" x14ac:dyDescent="0.35">
      <c r="A10" s="31" t="s">
        <v>97</v>
      </c>
      <c r="B10" s="66">
        <v>3454</v>
      </c>
      <c r="C10" s="66">
        <v>2903</v>
      </c>
      <c r="D10" s="66">
        <v>1715</v>
      </c>
      <c r="E10" s="66">
        <v>3606</v>
      </c>
      <c r="F10" s="77">
        <v>11678</v>
      </c>
      <c r="G10" s="66">
        <v>3390</v>
      </c>
      <c r="H10" s="66">
        <v>2488</v>
      </c>
      <c r="I10" s="66">
        <v>5143</v>
      </c>
      <c r="J10" s="66">
        <v>5816</v>
      </c>
      <c r="K10" s="77">
        <v>16838</v>
      </c>
      <c r="L10" s="66">
        <v>6710</v>
      </c>
      <c r="M10" s="66">
        <v>6401</v>
      </c>
      <c r="N10" s="66">
        <v>9897</v>
      </c>
      <c r="O10" s="66">
        <v>8377</v>
      </c>
      <c r="P10" s="77">
        <v>31386</v>
      </c>
      <c r="Q10" s="66">
        <v>7832</v>
      </c>
      <c r="R10" s="66">
        <v>8668</v>
      </c>
      <c r="S10" s="66">
        <v>6952</v>
      </c>
      <c r="T10" s="66">
        <v>5793</v>
      </c>
      <c r="U10" s="77">
        <v>29244</v>
      </c>
      <c r="V10" s="66">
        <v>6201</v>
      </c>
      <c r="W10" s="66">
        <v>5693</v>
      </c>
    </row>
    <row r="11" spans="1:23" s="2" customFormat="1" ht="15" customHeight="1" x14ac:dyDescent="0.35">
      <c r="A11" s="31" t="s">
        <v>98</v>
      </c>
      <c r="B11" s="68">
        <v>1385</v>
      </c>
      <c r="C11" s="68">
        <v>1260</v>
      </c>
      <c r="D11" s="68">
        <v>1171</v>
      </c>
      <c r="E11" s="68">
        <v>1975</v>
      </c>
      <c r="F11" s="80">
        <v>5791</v>
      </c>
      <c r="G11" s="68">
        <v>2578</v>
      </c>
      <c r="H11" s="68">
        <v>3028</v>
      </c>
      <c r="I11" s="68">
        <v>4155</v>
      </c>
      <c r="J11" s="68">
        <v>4553</v>
      </c>
      <c r="K11" s="80">
        <v>14313</v>
      </c>
      <c r="L11" s="68">
        <v>4314</v>
      </c>
      <c r="M11" s="68">
        <v>4056</v>
      </c>
      <c r="N11" s="68">
        <v>5770</v>
      </c>
      <c r="O11" s="68">
        <v>5732</v>
      </c>
      <c r="P11" s="80">
        <v>19872</v>
      </c>
      <c r="Q11" s="68">
        <v>6916</v>
      </c>
      <c r="R11" s="68">
        <v>4806</v>
      </c>
      <c r="S11" s="68">
        <v>5408</v>
      </c>
      <c r="T11" s="68">
        <v>-531</v>
      </c>
      <c r="U11" s="80">
        <v>16600</v>
      </c>
      <c r="V11" s="68">
        <v>3656</v>
      </c>
      <c r="W11" s="68">
        <v>4495</v>
      </c>
    </row>
    <row r="12" spans="1:23" s="2" customFormat="1" ht="15" customHeight="1" x14ac:dyDescent="0.35">
      <c r="A12" s="2" t="s">
        <v>99</v>
      </c>
      <c r="B12" s="69">
        <f t="shared" ref="B12:F12" si="4">SUM(B13:B15)</f>
        <v>112</v>
      </c>
      <c r="C12" s="69">
        <f t="shared" si="4"/>
        <v>110</v>
      </c>
      <c r="D12" s="69">
        <f t="shared" si="4"/>
        <v>110</v>
      </c>
      <c r="E12" s="69">
        <f t="shared" si="4"/>
        <v>109</v>
      </c>
      <c r="F12" s="81">
        <f t="shared" si="4"/>
        <v>441</v>
      </c>
      <c r="G12" s="69">
        <f>SUM(G13:G15)</f>
        <v>129</v>
      </c>
      <c r="H12" s="69">
        <f>SUM(H13:H15)</f>
        <v>131</v>
      </c>
      <c r="I12" s="69">
        <f>SUM(I13:I15)</f>
        <v>132</v>
      </c>
      <c r="J12" s="69">
        <f t="shared" ref="J12:K12" si="5">SUM(J13:J15)</f>
        <v>133</v>
      </c>
      <c r="K12" s="81">
        <f t="shared" si="5"/>
        <v>524</v>
      </c>
      <c r="L12" s="69">
        <f>SUM(L13:L15)</f>
        <v>290</v>
      </c>
      <c r="M12" s="69">
        <f t="shared" ref="M12:W12" si="6">SUM(M13:M15)</f>
        <v>299</v>
      </c>
      <c r="N12" s="69">
        <f>SUM(N13:N15)</f>
        <v>320</v>
      </c>
      <c r="O12" s="69">
        <f t="shared" si="6"/>
        <v>321</v>
      </c>
      <c r="P12" s="81">
        <f t="shared" si="6"/>
        <v>1231</v>
      </c>
      <c r="Q12" s="69">
        <f t="shared" si="6"/>
        <v>434</v>
      </c>
      <c r="R12" s="69">
        <f t="shared" si="6"/>
        <v>419</v>
      </c>
      <c r="S12" s="69">
        <f t="shared" si="6"/>
        <v>419</v>
      </c>
      <c r="T12" s="69">
        <f t="shared" si="6"/>
        <v>419</v>
      </c>
      <c r="U12" s="81">
        <f t="shared" si="6"/>
        <v>1691</v>
      </c>
      <c r="V12" s="69">
        <f t="shared" si="6"/>
        <v>394</v>
      </c>
      <c r="W12" s="69">
        <f t="shared" si="6"/>
        <v>391</v>
      </c>
    </row>
    <row r="13" spans="1:23" s="2" customFormat="1" ht="15" customHeight="1" x14ac:dyDescent="0.35">
      <c r="A13" s="31" t="s">
        <v>96</v>
      </c>
      <c r="B13" s="87">
        <v>42</v>
      </c>
      <c r="C13" s="87">
        <v>40</v>
      </c>
      <c r="D13" s="87">
        <v>41</v>
      </c>
      <c r="E13" s="87">
        <v>40</v>
      </c>
      <c r="F13" s="92">
        <v>163</v>
      </c>
      <c r="G13" s="87">
        <v>52</v>
      </c>
      <c r="H13" s="87">
        <v>53</v>
      </c>
      <c r="I13" s="87">
        <v>55</v>
      </c>
      <c r="J13" s="87">
        <v>52</v>
      </c>
      <c r="K13" s="92">
        <v>211</v>
      </c>
      <c r="L13" s="87">
        <v>146</v>
      </c>
      <c r="M13" s="87">
        <v>151</v>
      </c>
      <c r="N13" s="87">
        <v>161</v>
      </c>
      <c r="O13" s="87">
        <v>162</v>
      </c>
      <c r="P13" s="92">
        <v>621</v>
      </c>
      <c r="Q13" s="87">
        <v>220</v>
      </c>
      <c r="R13" s="87">
        <v>212</v>
      </c>
      <c r="S13" s="87">
        <v>208</v>
      </c>
      <c r="T13" s="87">
        <v>204</v>
      </c>
      <c r="U13" s="92">
        <v>844</v>
      </c>
      <c r="V13" s="87">
        <v>193</v>
      </c>
      <c r="W13" s="87">
        <v>191</v>
      </c>
    </row>
    <row r="14" spans="1:23" s="2" customFormat="1" ht="15" customHeight="1" x14ac:dyDescent="0.35">
      <c r="A14" s="31" t="s">
        <v>97</v>
      </c>
      <c r="B14" s="66">
        <v>39</v>
      </c>
      <c r="C14" s="66">
        <v>39</v>
      </c>
      <c r="D14" s="66">
        <v>37</v>
      </c>
      <c r="E14" s="66">
        <v>38</v>
      </c>
      <c r="F14" s="77">
        <v>153</v>
      </c>
      <c r="G14" s="66">
        <v>34</v>
      </c>
      <c r="H14" s="66">
        <v>35</v>
      </c>
      <c r="I14" s="66">
        <v>38</v>
      </c>
      <c r="J14" s="66">
        <v>37</v>
      </c>
      <c r="K14" s="77">
        <v>144</v>
      </c>
      <c r="L14" s="66">
        <v>59</v>
      </c>
      <c r="M14" s="66">
        <v>60</v>
      </c>
      <c r="N14" s="66">
        <v>65</v>
      </c>
      <c r="O14" s="66">
        <v>63</v>
      </c>
      <c r="P14" s="77">
        <v>247</v>
      </c>
      <c r="Q14" s="66">
        <v>79</v>
      </c>
      <c r="R14" s="66">
        <v>75</v>
      </c>
      <c r="S14" s="66">
        <v>83</v>
      </c>
      <c r="T14" s="66">
        <v>88</v>
      </c>
      <c r="U14" s="77">
        <v>325</v>
      </c>
      <c r="V14" s="66">
        <v>72</v>
      </c>
      <c r="W14" s="66">
        <v>71</v>
      </c>
    </row>
    <row r="15" spans="1:23" s="2" customFormat="1" ht="15" customHeight="1" x14ac:dyDescent="0.35">
      <c r="A15" s="31" t="s">
        <v>98</v>
      </c>
      <c r="B15" s="68">
        <v>31</v>
      </c>
      <c r="C15" s="68">
        <v>31</v>
      </c>
      <c r="D15" s="68">
        <v>32</v>
      </c>
      <c r="E15" s="68">
        <v>31</v>
      </c>
      <c r="F15" s="80">
        <v>125</v>
      </c>
      <c r="G15" s="68">
        <v>43</v>
      </c>
      <c r="H15" s="68">
        <v>43</v>
      </c>
      <c r="I15" s="68">
        <v>39</v>
      </c>
      <c r="J15" s="68">
        <v>44</v>
      </c>
      <c r="K15" s="80">
        <v>169</v>
      </c>
      <c r="L15" s="68">
        <v>85</v>
      </c>
      <c r="M15" s="68">
        <v>88</v>
      </c>
      <c r="N15" s="68">
        <v>94</v>
      </c>
      <c r="O15" s="68">
        <v>96</v>
      </c>
      <c r="P15" s="80">
        <v>363</v>
      </c>
      <c r="Q15" s="68">
        <v>135</v>
      </c>
      <c r="R15" s="68">
        <v>132</v>
      </c>
      <c r="S15" s="68">
        <v>128</v>
      </c>
      <c r="T15" s="68">
        <v>127</v>
      </c>
      <c r="U15" s="80">
        <v>522</v>
      </c>
      <c r="V15" s="68">
        <v>129</v>
      </c>
      <c r="W15" s="68">
        <v>129</v>
      </c>
    </row>
    <row r="16" spans="1:23" s="2" customFormat="1" ht="15" customHeight="1" x14ac:dyDescent="0.35">
      <c r="A16" s="2" t="s">
        <v>100</v>
      </c>
      <c r="B16" s="69">
        <f t="shared" ref="B16:F16" si="7">SUM(B17:B20)</f>
        <v>8428</v>
      </c>
      <c r="C16" s="69">
        <f t="shared" si="7"/>
        <v>10278</v>
      </c>
      <c r="D16" s="69">
        <f t="shared" si="7"/>
        <v>11892</v>
      </c>
      <c r="E16" s="69">
        <f t="shared" si="7"/>
        <v>13967</v>
      </c>
      <c r="F16" s="81">
        <f t="shared" si="7"/>
        <v>44565</v>
      </c>
      <c r="G16" s="69">
        <f>SUM(G17:G20)</f>
        <v>12516</v>
      </c>
      <c r="H16" s="69">
        <f>SUM(H17:H20)</f>
        <v>13300</v>
      </c>
      <c r="I16" s="69">
        <f>SUM(I17:I20)</f>
        <v>14771</v>
      </c>
      <c r="J16" s="69">
        <f t="shared" ref="J16:K16" si="8">SUM(J17:J20)</f>
        <v>16190</v>
      </c>
      <c r="K16" s="81">
        <f t="shared" si="8"/>
        <v>56779</v>
      </c>
      <c r="L16" s="69">
        <f>SUM(L17:L20)</f>
        <v>20167</v>
      </c>
      <c r="M16" s="69">
        <f t="shared" ref="M16:P16" si="9">SUM(M17:M20)</f>
        <v>22306</v>
      </c>
      <c r="N16" s="69">
        <f>SUM(N17:N20)</f>
        <v>23755</v>
      </c>
      <c r="O16" s="69">
        <f t="shared" si="9"/>
        <v>24570</v>
      </c>
      <c r="P16" s="81">
        <f t="shared" si="9"/>
        <v>90796</v>
      </c>
      <c r="Q16" s="69">
        <f>SUM(Q17:Q20)</f>
        <v>23646</v>
      </c>
      <c r="R16" s="69">
        <f>SUM(R17:R20)</f>
        <v>23560</v>
      </c>
      <c r="S16" s="69">
        <f>SUM(S17:S20)</f>
        <v>25619</v>
      </c>
      <c r="T16" s="69">
        <f t="shared" ref="T16:U16" si="10">SUM(T17:T20)</f>
        <v>30675</v>
      </c>
      <c r="U16" s="81">
        <f t="shared" si="10"/>
        <v>103500</v>
      </c>
      <c r="V16" s="69">
        <f>SUM(V17:V20)</f>
        <v>19296</v>
      </c>
      <c r="W16" s="69">
        <f>SUM(W17:W20)</f>
        <v>21315</v>
      </c>
    </row>
    <row r="17" spans="1:23" s="2" customFormat="1" ht="15" customHeight="1" x14ac:dyDescent="0.35">
      <c r="A17" s="31" t="s">
        <v>43</v>
      </c>
      <c r="B17" s="87">
        <v>5971</v>
      </c>
      <c r="C17" s="87">
        <v>6813</v>
      </c>
      <c r="D17" s="87">
        <v>8503</v>
      </c>
      <c r="E17" s="87">
        <v>8579</v>
      </c>
      <c r="F17" s="92">
        <v>29866</v>
      </c>
      <c r="G17" s="87">
        <v>8220</v>
      </c>
      <c r="H17" s="87">
        <v>9220</v>
      </c>
      <c r="I17" s="87">
        <v>10406</v>
      </c>
      <c r="J17" s="87">
        <v>10623</v>
      </c>
      <c r="K17" s="92">
        <v>38469</v>
      </c>
      <c r="L17" s="87">
        <v>11091</v>
      </c>
      <c r="M17" s="87">
        <v>13003</v>
      </c>
      <c r="N17" s="87">
        <v>14320</v>
      </c>
      <c r="O17" s="87">
        <v>15575</v>
      </c>
      <c r="P17" s="92">
        <v>53988</v>
      </c>
      <c r="Q17" s="87">
        <v>15249</v>
      </c>
      <c r="R17" s="87">
        <v>15050</v>
      </c>
      <c r="S17" s="87">
        <v>16571</v>
      </c>
      <c r="T17" s="87">
        <v>20477</v>
      </c>
      <c r="U17" s="92">
        <v>67347</v>
      </c>
      <c r="V17" s="87">
        <v>9135</v>
      </c>
      <c r="W17" s="87">
        <v>10847</v>
      </c>
    </row>
    <row r="18" spans="1:23" s="2" customFormat="1" ht="15" customHeight="1" x14ac:dyDescent="0.35">
      <c r="A18" s="31" t="s">
        <v>96</v>
      </c>
      <c r="B18" s="66">
        <v>1144</v>
      </c>
      <c r="C18" s="66">
        <v>1977</v>
      </c>
      <c r="D18" s="66">
        <v>1690</v>
      </c>
      <c r="E18" s="66">
        <v>3183</v>
      </c>
      <c r="F18" s="77">
        <v>7995</v>
      </c>
      <c r="G18" s="66">
        <v>2007</v>
      </c>
      <c r="H18" s="66">
        <v>1457</v>
      </c>
      <c r="I18" s="66">
        <v>1640</v>
      </c>
      <c r="J18" s="66">
        <v>2106</v>
      </c>
      <c r="K18" s="77">
        <v>7211</v>
      </c>
      <c r="L18" s="66">
        <v>2944</v>
      </c>
      <c r="M18" s="66">
        <v>3092</v>
      </c>
      <c r="N18" s="66">
        <v>2822</v>
      </c>
      <c r="O18" s="66">
        <v>2369</v>
      </c>
      <c r="P18" s="77">
        <v>11226</v>
      </c>
      <c r="Q18" s="66">
        <v>2221</v>
      </c>
      <c r="R18" s="66">
        <v>2245</v>
      </c>
      <c r="S18" s="66">
        <v>2724</v>
      </c>
      <c r="T18" s="66">
        <v>3412</v>
      </c>
      <c r="U18" s="77">
        <v>10602</v>
      </c>
      <c r="V18" s="66">
        <v>3477</v>
      </c>
      <c r="W18" s="66">
        <v>3534</v>
      </c>
    </row>
    <row r="19" spans="1:23" s="2" customFormat="1" ht="15" customHeight="1" x14ac:dyDescent="0.35">
      <c r="A19" s="31" t="s">
        <v>97</v>
      </c>
      <c r="B19" s="66">
        <v>992</v>
      </c>
      <c r="C19" s="66">
        <v>1112</v>
      </c>
      <c r="D19" s="66">
        <v>1330</v>
      </c>
      <c r="E19" s="66">
        <v>1744</v>
      </c>
      <c r="F19" s="77">
        <v>5178</v>
      </c>
      <c r="G19" s="66">
        <v>1771</v>
      </c>
      <c r="H19" s="66">
        <v>2019</v>
      </c>
      <c r="I19" s="66">
        <v>1813</v>
      </c>
      <c r="J19" s="66">
        <v>2153</v>
      </c>
      <c r="K19" s="77">
        <v>7757</v>
      </c>
      <c r="L19" s="66">
        <v>4961</v>
      </c>
      <c r="M19" s="66">
        <v>4925</v>
      </c>
      <c r="N19" s="66">
        <v>5102</v>
      </c>
      <c r="O19" s="66">
        <v>4856</v>
      </c>
      <c r="P19" s="77">
        <v>19844</v>
      </c>
      <c r="Q19" s="66">
        <v>4454</v>
      </c>
      <c r="R19" s="66">
        <v>4518</v>
      </c>
      <c r="S19" s="66">
        <v>4442</v>
      </c>
      <c r="T19" s="66">
        <v>4831</v>
      </c>
      <c r="U19" s="77">
        <v>18245</v>
      </c>
      <c r="V19" s="66">
        <v>4864</v>
      </c>
      <c r="W19" s="66">
        <v>5109</v>
      </c>
    </row>
    <row r="20" spans="1:23" s="2" customFormat="1" ht="15" customHeight="1" x14ac:dyDescent="0.35">
      <c r="A20" s="31" t="s">
        <v>98</v>
      </c>
      <c r="B20" s="68">
        <v>321</v>
      </c>
      <c r="C20" s="68">
        <v>376</v>
      </c>
      <c r="D20" s="68">
        <v>369</v>
      </c>
      <c r="E20" s="68">
        <v>461</v>
      </c>
      <c r="F20" s="80">
        <v>1526</v>
      </c>
      <c r="G20" s="68">
        <v>518</v>
      </c>
      <c r="H20" s="68">
        <v>604</v>
      </c>
      <c r="I20" s="68">
        <v>912</v>
      </c>
      <c r="J20" s="68">
        <v>1308</v>
      </c>
      <c r="K20" s="80">
        <v>3342</v>
      </c>
      <c r="L20" s="68">
        <v>1171</v>
      </c>
      <c r="M20" s="68">
        <v>1286</v>
      </c>
      <c r="N20" s="68">
        <v>1511</v>
      </c>
      <c r="O20" s="68">
        <v>1770</v>
      </c>
      <c r="P20" s="80">
        <v>5738</v>
      </c>
      <c r="Q20" s="68">
        <v>1722</v>
      </c>
      <c r="R20" s="68">
        <v>1747</v>
      </c>
      <c r="S20" s="68">
        <v>1882</v>
      </c>
      <c r="T20" s="68">
        <v>1955</v>
      </c>
      <c r="U20" s="80">
        <v>7306</v>
      </c>
      <c r="V20" s="68">
        <v>1820</v>
      </c>
      <c r="W20" s="68">
        <v>1825</v>
      </c>
    </row>
    <row r="21" spans="1:23" s="2" customFormat="1" ht="15" customHeight="1" x14ac:dyDescent="0.35">
      <c r="A21" s="2" t="s">
        <v>101</v>
      </c>
      <c r="B21" s="69">
        <f t="shared" ref="B21:W21" si="11">SUM(B22:B22)</f>
        <v>0</v>
      </c>
      <c r="C21" s="69">
        <f t="shared" si="11"/>
        <v>0</v>
      </c>
      <c r="D21" s="69">
        <f t="shared" si="11"/>
        <v>0</v>
      </c>
      <c r="E21" s="69">
        <f t="shared" si="11"/>
        <v>0</v>
      </c>
      <c r="F21" s="81">
        <f t="shared" si="11"/>
        <v>0</v>
      </c>
      <c r="G21" s="69">
        <f t="shared" si="11"/>
        <v>0</v>
      </c>
      <c r="H21" s="69">
        <f t="shared" si="11"/>
        <v>148</v>
      </c>
      <c r="I21" s="69">
        <f t="shared" si="11"/>
        <v>1793</v>
      </c>
      <c r="J21" s="69">
        <f t="shared" si="11"/>
        <v>980</v>
      </c>
      <c r="K21" s="81">
        <f t="shared" si="11"/>
        <v>2921</v>
      </c>
      <c r="L21" s="69">
        <f t="shared" si="11"/>
        <v>6</v>
      </c>
      <c r="M21" s="69">
        <f t="shared" si="11"/>
        <v>0</v>
      </c>
      <c r="N21" s="69">
        <f t="shared" si="11"/>
        <v>0</v>
      </c>
      <c r="O21" s="69">
        <f t="shared" si="11"/>
        <v>0</v>
      </c>
      <c r="P21" s="81">
        <f t="shared" si="11"/>
        <v>6</v>
      </c>
      <c r="Q21" s="69">
        <f t="shared" si="11"/>
        <v>0</v>
      </c>
      <c r="R21" s="69">
        <f t="shared" si="11"/>
        <v>0</v>
      </c>
      <c r="S21" s="69">
        <f t="shared" si="11"/>
        <v>516</v>
      </c>
      <c r="T21" s="69">
        <f t="shared" si="11"/>
        <v>1222</v>
      </c>
      <c r="U21" s="81">
        <f t="shared" si="11"/>
        <v>1738</v>
      </c>
      <c r="V21" s="69">
        <f t="shared" si="11"/>
        <v>0</v>
      </c>
      <c r="W21" s="69">
        <f t="shared" si="11"/>
        <v>0</v>
      </c>
    </row>
    <row r="22" spans="1:23" s="2" customFormat="1" ht="15" customHeight="1" x14ac:dyDescent="0.35">
      <c r="A22" s="31" t="s">
        <v>98</v>
      </c>
      <c r="B22" s="68"/>
      <c r="C22" s="68"/>
      <c r="D22" s="68"/>
      <c r="E22" s="68"/>
      <c r="F22" s="80"/>
      <c r="G22" s="68">
        <v>0</v>
      </c>
      <c r="H22" s="68">
        <v>148</v>
      </c>
      <c r="I22" s="68">
        <v>1793</v>
      </c>
      <c r="J22" s="68">
        <v>980</v>
      </c>
      <c r="K22" s="80">
        <v>2921</v>
      </c>
      <c r="L22" s="68">
        <v>6</v>
      </c>
      <c r="M22" s="68"/>
      <c r="N22" s="68">
        <v>0</v>
      </c>
      <c r="O22" s="68">
        <v>0</v>
      </c>
      <c r="P22" s="80">
        <v>6</v>
      </c>
      <c r="Q22" s="68">
        <v>0</v>
      </c>
      <c r="R22" s="68">
        <v>0</v>
      </c>
      <c r="S22" s="68">
        <v>516</v>
      </c>
      <c r="T22" s="68">
        <v>1222</v>
      </c>
      <c r="U22" s="94">
        <f>SUM(Q22:T22)</f>
        <v>1738</v>
      </c>
      <c r="V22" s="68">
        <v>0</v>
      </c>
      <c r="W22" s="68">
        <v>0</v>
      </c>
    </row>
    <row r="23" spans="1:23" s="2" customFormat="1" x14ac:dyDescent="0.35">
      <c r="A23" s="24" t="s">
        <v>102</v>
      </c>
      <c r="B23" s="69">
        <f t="shared" ref="B23:G23" si="12">SUM(B24:B25)</f>
        <v>109</v>
      </c>
      <c r="C23" s="69">
        <f t="shared" si="12"/>
        <v>115</v>
      </c>
      <c r="D23" s="69">
        <f t="shared" si="12"/>
        <v>54</v>
      </c>
      <c r="E23" s="69">
        <f t="shared" si="12"/>
        <v>-2172</v>
      </c>
      <c r="F23" s="81">
        <f t="shared" si="12"/>
        <v>-1894</v>
      </c>
      <c r="G23" s="69">
        <f t="shared" si="12"/>
        <v>40</v>
      </c>
      <c r="H23" s="69">
        <f t="shared" ref="H23:W23" si="13">SUM(H24:H25)</f>
        <v>44</v>
      </c>
      <c r="I23" s="69">
        <f t="shared" si="13"/>
        <v>3</v>
      </c>
      <c r="J23" s="69">
        <f t="shared" si="13"/>
        <v>-3</v>
      </c>
      <c r="K23" s="81">
        <f t="shared" si="13"/>
        <v>85</v>
      </c>
      <c r="L23" s="69">
        <f t="shared" si="13"/>
        <v>0</v>
      </c>
      <c r="M23" s="69">
        <f t="shared" si="13"/>
        <v>0</v>
      </c>
      <c r="N23" s="69">
        <f t="shared" si="13"/>
        <v>0</v>
      </c>
      <c r="O23" s="69">
        <f t="shared" si="13"/>
        <v>0</v>
      </c>
      <c r="P23" s="81">
        <f t="shared" si="13"/>
        <v>0</v>
      </c>
      <c r="Q23" s="69">
        <f t="shared" si="13"/>
        <v>0</v>
      </c>
      <c r="R23" s="69">
        <f t="shared" si="13"/>
        <v>0</v>
      </c>
      <c r="S23" s="69">
        <f t="shared" ref="S23" si="14">SUM(S24:S25)</f>
        <v>0</v>
      </c>
      <c r="T23" s="69">
        <f t="shared" si="13"/>
        <v>0</v>
      </c>
      <c r="U23" s="81">
        <f t="shared" si="13"/>
        <v>0</v>
      </c>
      <c r="V23" s="69">
        <f t="shared" si="13"/>
        <v>0</v>
      </c>
      <c r="W23" s="69">
        <f t="shared" si="13"/>
        <v>0</v>
      </c>
    </row>
    <row r="24" spans="1:23" s="2" customFormat="1" ht="15" customHeight="1" x14ac:dyDescent="0.35">
      <c r="A24" s="31" t="s">
        <v>96</v>
      </c>
      <c r="B24" s="87">
        <v>109</v>
      </c>
      <c r="C24" s="87">
        <v>115</v>
      </c>
      <c r="D24" s="87">
        <v>54</v>
      </c>
      <c r="E24" s="87">
        <v>46</v>
      </c>
      <c r="F24" s="92">
        <v>324</v>
      </c>
      <c r="G24" s="87">
        <v>40</v>
      </c>
      <c r="H24" s="87">
        <v>44</v>
      </c>
      <c r="I24" s="87">
        <v>3</v>
      </c>
      <c r="J24" s="87">
        <v>-3</v>
      </c>
      <c r="K24" s="92">
        <v>85</v>
      </c>
      <c r="L24" s="87">
        <v>0</v>
      </c>
      <c r="M24" s="87"/>
      <c r="N24" s="87">
        <v>0</v>
      </c>
      <c r="O24" s="87">
        <v>0</v>
      </c>
      <c r="P24" s="92">
        <v>0</v>
      </c>
      <c r="Q24" s="87">
        <v>0</v>
      </c>
      <c r="R24" s="87">
        <v>0</v>
      </c>
      <c r="S24" s="87">
        <v>0</v>
      </c>
      <c r="T24" s="87">
        <v>0</v>
      </c>
      <c r="U24" s="92">
        <v>0</v>
      </c>
      <c r="V24" s="87">
        <v>0</v>
      </c>
      <c r="W24" s="87">
        <v>0</v>
      </c>
    </row>
    <row r="25" spans="1:23" s="2" customFormat="1" ht="15" customHeight="1" x14ac:dyDescent="0.35">
      <c r="A25" s="31" t="s">
        <v>98</v>
      </c>
      <c r="B25" s="68">
        <v>0</v>
      </c>
      <c r="C25" s="68"/>
      <c r="D25" s="68"/>
      <c r="E25" s="68">
        <v>-2218</v>
      </c>
      <c r="F25" s="80">
        <v>-2218</v>
      </c>
      <c r="G25" s="68">
        <v>0</v>
      </c>
      <c r="H25" s="68">
        <v>0</v>
      </c>
      <c r="I25" s="68">
        <v>0</v>
      </c>
      <c r="J25" s="68">
        <v>0</v>
      </c>
      <c r="K25" s="80">
        <v>0</v>
      </c>
      <c r="L25" s="68">
        <v>0</v>
      </c>
      <c r="M25" s="68"/>
      <c r="N25" s="68">
        <v>0</v>
      </c>
      <c r="O25" s="68">
        <v>0</v>
      </c>
      <c r="P25" s="80">
        <v>0</v>
      </c>
      <c r="Q25" s="68">
        <v>0</v>
      </c>
      <c r="R25" s="68">
        <v>0</v>
      </c>
      <c r="S25" s="68">
        <v>0</v>
      </c>
      <c r="T25" s="68">
        <v>0</v>
      </c>
      <c r="U25" s="80">
        <v>0</v>
      </c>
      <c r="V25" s="68">
        <v>0</v>
      </c>
      <c r="W25" s="68">
        <v>0</v>
      </c>
    </row>
    <row r="26" spans="1:23" s="2" customFormat="1" ht="15" customHeight="1" x14ac:dyDescent="0.35">
      <c r="A26" s="2" t="s">
        <v>103</v>
      </c>
      <c r="B26" s="69">
        <f t="shared" ref="B26:F26" si="15">SUM(B27:B30)</f>
        <v>0</v>
      </c>
      <c r="C26" s="69">
        <f t="shared" si="15"/>
        <v>0</v>
      </c>
      <c r="D26" s="69">
        <f t="shared" si="15"/>
        <v>0</v>
      </c>
      <c r="E26" s="69">
        <f t="shared" si="15"/>
        <v>0</v>
      </c>
      <c r="F26" s="81">
        <f t="shared" si="15"/>
        <v>0</v>
      </c>
      <c r="G26" s="69">
        <f>SUM(G27:G30)</f>
        <v>0</v>
      </c>
      <c r="H26" s="69">
        <f>SUM(H27:H30)</f>
        <v>0</v>
      </c>
      <c r="I26" s="69">
        <f>SUM(I27:I30)</f>
        <v>0</v>
      </c>
      <c r="J26" s="69">
        <f t="shared" ref="J26:K26" si="16">SUM(J27:J30)</f>
        <v>0</v>
      </c>
      <c r="K26" s="81">
        <f t="shared" si="16"/>
        <v>0</v>
      </c>
      <c r="L26" s="69">
        <f>SUM(L27:L30)</f>
        <v>0</v>
      </c>
      <c r="M26" s="69">
        <f t="shared" ref="M26:P26" si="17">SUM(M27:M30)</f>
        <v>3299</v>
      </c>
      <c r="N26" s="69">
        <f>SUM(N27:N30)</f>
        <v>0</v>
      </c>
      <c r="O26" s="69">
        <f t="shared" si="17"/>
        <v>4057</v>
      </c>
      <c r="P26" s="81">
        <f t="shared" si="17"/>
        <v>7356</v>
      </c>
      <c r="Q26" s="69">
        <f>SUM(Q27:Q30)</f>
        <v>-252</v>
      </c>
      <c r="R26" s="69">
        <f>SUM(R27:R30)</f>
        <v>199</v>
      </c>
      <c r="S26" s="69">
        <f>SUM(S27:S30)</f>
        <v>0</v>
      </c>
      <c r="T26" s="69">
        <f t="shared" ref="T26:U26" si="18">SUM(T27:T30)</f>
        <v>0</v>
      </c>
      <c r="U26" s="81">
        <f t="shared" si="18"/>
        <v>-53</v>
      </c>
      <c r="V26" s="69">
        <f>SUM(V27:V30)</f>
        <v>1890</v>
      </c>
      <c r="W26" s="69">
        <f>SUM(W27:W30)</f>
        <v>728</v>
      </c>
    </row>
    <row r="27" spans="1:23" s="2" customFormat="1" ht="15" customHeight="1" x14ac:dyDescent="0.35">
      <c r="A27" s="31" t="s">
        <v>43</v>
      </c>
      <c r="B27" s="87"/>
      <c r="C27" s="87"/>
      <c r="D27" s="87"/>
      <c r="E27" s="87"/>
      <c r="F27" s="92"/>
      <c r="G27" s="87">
        <v>0</v>
      </c>
      <c r="H27" s="87">
        <v>0</v>
      </c>
      <c r="I27" s="87">
        <v>0</v>
      </c>
      <c r="J27" s="87">
        <v>0</v>
      </c>
      <c r="K27" s="92">
        <v>0</v>
      </c>
      <c r="L27" s="87">
        <v>0</v>
      </c>
      <c r="M27" s="87">
        <v>2497</v>
      </c>
      <c r="N27" s="87">
        <v>0</v>
      </c>
      <c r="O27" s="87">
        <v>0</v>
      </c>
      <c r="P27" s="92">
        <v>2497</v>
      </c>
      <c r="Q27" s="87">
        <v>0</v>
      </c>
      <c r="R27" s="87">
        <v>0</v>
      </c>
      <c r="S27" s="87">
        <v>0</v>
      </c>
      <c r="T27" s="87">
        <v>0</v>
      </c>
      <c r="U27" s="112">
        <f>SUM(Q27:T27)</f>
        <v>0</v>
      </c>
      <c r="V27" s="87">
        <v>0</v>
      </c>
      <c r="W27" s="87">
        <v>0</v>
      </c>
    </row>
    <row r="28" spans="1:23" s="2" customFormat="1" ht="15" customHeight="1" x14ac:dyDescent="0.35">
      <c r="A28" s="31" t="s">
        <v>96</v>
      </c>
      <c r="B28" s="66"/>
      <c r="C28" s="66"/>
      <c r="D28" s="66"/>
      <c r="E28" s="66"/>
      <c r="F28" s="77"/>
      <c r="G28" s="66"/>
      <c r="H28" s="66"/>
      <c r="I28" s="66">
        <v>0</v>
      </c>
      <c r="J28" s="66">
        <v>0</v>
      </c>
      <c r="K28" s="77">
        <v>0</v>
      </c>
      <c r="L28" s="66">
        <v>0</v>
      </c>
      <c r="M28" s="66">
        <v>0</v>
      </c>
      <c r="N28" s="66">
        <v>0</v>
      </c>
      <c r="O28" s="66">
        <v>2911</v>
      </c>
      <c r="P28" s="77">
        <v>2911</v>
      </c>
      <c r="Q28" s="66">
        <v>-348</v>
      </c>
      <c r="R28" s="66">
        <v>16</v>
      </c>
      <c r="S28" s="66">
        <v>0</v>
      </c>
      <c r="T28" s="66">
        <v>0</v>
      </c>
      <c r="U28" s="76">
        <f>SUM(Q28:T28)</f>
        <v>-332</v>
      </c>
      <c r="V28" s="66">
        <v>0</v>
      </c>
      <c r="W28" s="66">
        <v>124</v>
      </c>
    </row>
    <row r="29" spans="1:23" s="2" customFormat="1" ht="15" customHeight="1" x14ac:dyDescent="0.35">
      <c r="A29" s="31" t="s">
        <v>97</v>
      </c>
      <c r="B29" s="66"/>
      <c r="C29" s="66"/>
      <c r="D29" s="66"/>
      <c r="E29" s="66"/>
      <c r="F29" s="77"/>
      <c r="G29" s="66">
        <v>0</v>
      </c>
      <c r="H29" s="66">
        <v>0</v>
      </c>
      <c r="I29" s="66">
        <v>0</v>
      </c>
      <c r="J29" s="66">
        <v>0</v>
      </c>
      <c r="K29" s="77">
        <v>0</v>
      </c>
      <c r="L29" s="66">
        <v>0</v>
      </c>
      <c r="M29" s="66">
        <v>690</v>
      </c>
      <c r="N29" s="66">
        <v>0</v>
      </c>
      <c r="O29" s="66">
        <v>1135</v>
      </c>
      <c r="P29" s="77">
        <v>1825</v>
      </c>
      <c r="Q29" s="66">
        <v>107</v>
      </c>
      <c r="R29" s="66">
        <v>183</v>
      </c>
      <c r="S29" s="66">
        <v>0</v>
      </c>
      <c r="T29" s="66">
        <v>0</v>
      </c>
      <c r="U29" s="76">
        <f>SUM(Q29:T29)</f>
        <v>290</v>
      </c>
      <c r="V29" s="66">
        <v>1890</v>
      </c>
      <c r="W29" s="66">
        <v>175</v>
      </c>
    </row>
    <row r="30" spans="1:23" s="2" customFormat="1" ht="15" customHeight="1" x14ac:dyDescent="0.35">
      <c r="A30" s="31" t="s">
        <v>98</v>
      </c>
      <c r="B30" s="68"/>
      <c r="C30" s="68"/>
      <c r="D30" s="68"/>
      <c r="E30" s="68"/>
      <c r="F30" s="80"/>
      <c r="G30" s="68">
        <v>0</v>
      </c>
      <c r="H30" s="68">
        <v>0</v>
      </c>
      <c r="I30" s="68">
        <v>0</v>
      </c>
      <c r="J30" s="68">
        <v>0</v>
      </c>
      <c r="K30" s="80">
        <v>0</v>
      </c>
      <c r="L30" s="68">
        <v>0</v>
      </c>
      <c r="M30" s="68">
        <v>112</v>
      </c>
      <c r="N30" s="68">
        <v>0</v>
      </c>
      <c r="O30" s="68">
        <v>11</v>
      </c>
      <c r="P30" s="80">
        <v>123</v>
      </c>
      <c r="Q30" s="68">
        <v>-11</v>
      </c>
      <c r="R30" s="68">
        <v>0</v>
      </c>
      <c r="S30" s="68">
        <v>0</v>
      </c>
      <c r="T30" s="68">
        <v>0</v>
      </c>
      <c r="U30" s="76">
        <f>SUM(Q30:T30)</f>
        <v>-11</v>
      </c>
      <c r="V30" s="68">
        <v>0</v>
      </c>
      <c r="W30" s="68">
        <v>429</v>
      </c>
    </row>
    <row r="31" spans="1:23" s="2" customFormat="1" ht="15" customHeight="1" x14ac:dyDescent="0.35">
      <c r="A31" s="2" t="s">
        <v>104</v>
      </c>
      <c r="B31" s="69">
        <f t="shared" ref="B31:K31" si="19">SUM(B6,B7,B8,B12,B16,B21,B23,B26)</f>
        <v>18189</v>
      </c>
      <c r="C31" s="69">
        <f t="shared" si="19"/>
        <v>19739</v>
      </c>
      <c r="D31" s="69">
        <f t="shared" si="19"/>
        <v>28694</v>
      </c>
      <c r="E31" s="69">
        <f t="shared" si="19"/>
        <v>14539</v>
      </c>
      <c r="F31" s="81">
        <f t="shared" si="19"/>
        <v>81159</v>
      </c>
      <c r="G31" s="69">
        <f t="shared" si="19"/>
        <v>30316</v>
      </c>
      <c r="H31" s="69">
        <f t="shared" si="19"/>
        <v>25862</v>
      </c>
      <c r="I31" s="69">
        <f t="shared" si="19"/>
        <v>38808</v>
      </c>
      <c r="J31" s="69">
        <f t="shared" si="19"/>
        <v>42255</v>
      </c>
      <c r="K31" s="81">
        <f t="shared" si="19"/>
        <v>137243</v>
      </c>
      <c r="L31" s="69">
        <f>SUM(L6,L7,L8,L12,L16,L21,L23,L26)-1</f>
        <v>41936</v>
      </c>
      <c r="M31" s="69">
        <f t="shared" ref="M31:S31" si="20">SUM(M6,M7,M8,M12,M16,M21,M23,M26)</f>
        <v>46581</v>
      </c>
      <c r="N31" s="69">
        <f t="shared" si="20"/>
        <v>56847</v>
      </c>
      <c r="O31" s="69">
        <f t="shared" si="20"/>
        <v>67560</v>
      </c>
      <c r="P31" s="81">
        <f t="shared" si="20"/>
        <v>212925</v>
      </c>
      <c r="Q31" s="69">
        <f t="shared" si="20"/>
        <v>56842</v>
      </c>
      <c r="R31" s="69">
        <f t="shared" si="20"/>
        <v>54067</v>
      </c>
      <c r="S31" s="69">
        <f t="shared" si="20"/>
        <v>51643</v>
      </c>
      <c r="T31" s="69">
        <f t="shared" ref="T31:W31" si="21">SUM(T6,T7,T8,T12,T16,T21,T23,T26)</f>
        <v>62628</v>
      </c>
      <c r="U31" s="81">
        <f t="shared" si="21"/>
        <v>225180</v>
      </c>
      <c r="V31" s="69">
        <f t="shared" si="21"/>
        <v>47454</v>
      </c>
      <c r="W31" s="69">
        <f t="shared" si="21"/>
        <v>43862</v>
      </c>
    </row>
    <row r="32" spans="1:23" s="2" customFormat="1" ht="15" customHeight="1" x14ac:dyDescent="0.4">
      <c r="A32" s="1" t="s">
        <v>186</v>
      </c>
      <c r="B32" s="97">
        <f t="shared" ref="B32:Q32" si="22">SUM(B4,B31)</f>
        <v>31806</v>
      </c>
      <c r="C32" s="97">
        <f t="shared" si="22"/>
        <v>23668</v>
      </c>
      <c r="D32" s="97">
        <f t="shared" si="22"/>
        <v>34487</v>
      </c>
      <c r="E32" s="97">
        <f t="shared" si="22"/>
        <v>53477</v>
      </c>
      <c r="F32" s="95">
        <f t="shared" si="22"/>
        <v>143435</v>
      </c>
      <c r="G32" s="97">
        <f t="shared" si="22"/>
        <v>48843</v>
      </c>
      <c r="H32" s="97">
        <f t="shared" si="22"/>
        <v>39201</v>
      </c>
      <c r="I32" s="97">
        <f t="shared" si="22"/>
        <v>53532</v>
      </c>
      <c r="J32" s="97">
        <f t="shared" si="22"/>
        <v>82995</v>
      </c>
      <c r="K32" s="95">
        <f t="shared" si="22"/>
        <v>224572</v>
      </c>
      <c r="L32" s="97">
        <f t="shared" si="22"/>
        <v>56454</v>
      </c>
      <c r="M32" s="97">
        <f t="shared" si="22"/>
        <v>54086</v>
      </c>
      <c r="N32" s="97">
        <f t="shared" si="22"/>
        <v>79116</v>
      </c>
      <c r="O32" s="97">
        <f t="shared" si="22"/>
        <v>119928</v>
      </c>
      <c r="P32" s="95">
        <f t="shared" si="22"/>
        <v>309584</v>
      </c>
      <c r="Q32" s="97">
        <f t="shared" si="22"/>
        <v>77932</v>
      </c>
      <c r="R32" s="97">
        <f t="shared" ref="R32:V32" si="23">SUM(R4,R31)</f>
        <v>68774</v>
      </c>
      <c r="S32" s="97">
        <f t="shared" si="23"/>
        <v>69591</v>
      </c>
      <c r="T32" s="97">
        <f t="shared" si="23"/>
        <v>104762</v>
      </c>
      <c r="U32" s="95">
        <f t="shared" si="23"/>
        <v>321059</v>
      </c>
      <c r="V32" s="97">
        <f t="shared" si="23"/>
        <v>68855</v>
      </c>
      <c r="W32" s="97">
        <f t="shared" ref="W32" si="24">SUM(W4,W31)</f>
        <v>56399</v>
      </c>
    </row>
    <row r="33" spans="1:23" s="2" customFormat="1" ht="15" customHeight="1" x14ac:dyDescent="0.35">
      <c r="F33" s="22"/>
      <c r="K33" s="22"/>
      <c r="P33" s="22"/>
      <c r="R33" s="56"/>
      <c r="S33" s="56"/>
      <c r="T33" s="56"/>
      <c r="U33" s="22"/>
      <c r="V33" s="56"/>
      <c r="W33" s="56"/>
    </row>
    <row r="34" spans="1:23" ht="125.65" customHeight="1" x14ac:dyDescent="0.35">
      <c r="A34" s="173" t="s">
        <v>187</v>
      </c>
      <c r="B34" s="173"/>
      <c r="C34" s="173"/>
      <c r="D34" s="173"/>
      <c r="E34" s="173"/>
      <c r="F34" s="173"/>
      <c r="G34" s="173"/>
      <c r="H34" s="173"/>
      <c r="I34" s="173"/>
      <c r="J34" s="173"/>
      <c r="K34" s="173"/>
      <c r="L34" s="173"/>
      <c r="M34" s="173"/>
      <c r="N34" s="173"/>
      <c r="O34" s="173"/>
      <c r="P34" s="173"/>
      <c r="Q34" s="173"/>
      <c r="R34" s="173"/>
      <c r="S34" s="173"/>
      <c r="T34" s="173"/>
      <c r="U34" s="173"/>
      <c r="V34" s="173"/>
      <c r="W34" s="173"/>
    </row>
    <row r="35" spans="1:23" ht="15" customHeight="1" x14ac:dyDescent="0.35"/>
    <row r="36" spans="1:23" ht="15" customHeight="1" x14ac:dyDescent="0.35"/>
    <row r="37" spans="1:23" ht="15" customHeight="1" x14ac:dyDescent="0.35">
      <c r="K37" s="147"/>
      <c r="P37" s="147"/>
      <c r="U37" s="147"/>
    </row>
    <row r="38" spans="1:23" ht="15" customHeight="1" x14ac:dyDescent="0.35"/>
    <row r="39" spans="1:23" ht="15" customHeight="1" x14ac:dyDescent="0.35"/>
    <row r="40" spans="1:23" ht="15" customHeight="1" x14ac:dyDescent="0.35"/>
    <row r="41" spans="1:23" ht="15" customHeight="1" x14ac:dyDescent="0.35"/>
    <row r="42" spans="1:23" ht="15" customHeight="1" x14ac:dyDescent="0.35"/>
    <row r="43" spans="1:23" ht="15" customHeight="1" x14ac:dyDescent="0.35"/>
    <row r="44" spans="1:23" ht="15" customHeight="1" x14ac:dyDescent="0.35"/>
    <row r="45" spans="1:23" ht="15" customHeight="1" x14ac:dyDescent="0.35"/>
    <row r="46" spans="1:23" ht="15" customHeight="1" x14ac:dyDescent="0.35"/>
    <row r="47" spans="1:23" ht="15" customHeight="1" x14ac:dyDescent="0.35"/>
    <row r="48" spans="1:23"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sheetData>
  <mergeCells count="1">
    <mergeCell ref="A34:W34"/>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80"/>
  <sheetViews>
    <sheetView showGridLines="0" zoomScale="70" zoomScaleNormal="70" workbookViewId="0"/>
  </sheetViews>
  <sheetFormatPr defaultColWidth="12.640625" defaultRowHeight="12.75" x14ac:dyDescent="0.35"/>
  <cols>
    <col min="1" max="1" width="59.28515625" style="15" customWidth="1"/>
    <col min="2" max="16384" width="12.640625" style="15"/>
  </cols>
  <sheetData>
    <row r="1" spans="1:23" ht="13.15" x14ac:dyDescent="0.4">
      <c r="A1" s="23" t="s">
        <v>175</v>
      </c>
    </row>
    <row r="2" spans="1:23" x14ac:dyDescent="0.35">
      <c r="A2" s="16" t="s">
        <v>169</v>
      </c>
    </row>
    <row r="3" spans="1:23" s="2" customFormat="1" ht="15" customHeight="1" x14ac:dyDescent="0.4">
      <c r="A3" s="32"/>
      <c r="B3" s="29" t="s">
        <v>159</v>
      </c>
      <c r="C3" s="29" t="s">
        <v>162</v>
      </c>
      <c r="D3" s="29" t="s">
        <v>161</v>
      </c>
      <c r="E3" s="29" t="s">
        <v>160</v>
      </c>
      <c r="F3" s="30" t="s">
        <v>158</v>
      </c>
      <c r="G3" s="29" t="s">
        <v>157</v>
      </c>
      <c r="H3" s="29" t="s">
        <v>156</v>
      </c>
      <c r="I3" s="29" t="s">
        <v>155</v>
      </c>
      <c r="J3" s="29" t="s">
        <v>151</v>
      </c>
      <c r="K3" s="30" t="s">
        <v>150</v>
      </c>
      <c r="L3" s="29" t="s">
        <v>147</v>
      </c>
      <c r="M3" s="29" t="s">
        <v>153</v>
      </c>
      <c r="N3" s="29" t="s">
        <v>154</v>
      </c>
      <c r="O3" s="29" t="s">
        <v>152</v>
      </c>
      <c r="P3" s="30" t="s">
        <v>149</v>
      </c>
      <c r="Q3" s="29" t="s">
        <v>146</v>
      </c>
      <c r="R3" s="29" t="s">
        <v>213</v>
      </c>
      <c r="S3" s="29" t="s">
        <v>216</v>
      </c>
      <c r="T3" s="29" t="s">
        <v>220</v>
      </c>
      <c r="U3" s="30" t="s">
        <v>221</v>
      </c>
      <c r="V3" s="29" t="s">
        <v>227</v>
      </c>
      <c r="W3" s="29" t="s">
        <v>235</v>
      </c>
    </row>
    <row r="4" spans="1:23" s="2" customFormat="1" ht="15" customHeight="1" x14ac:dyDescent="0.4">
      <c r="A4" s="1" t="s">
        <v>105</v>
      </c>
      <c r="B4" s="103">
        <f>'P&amp;L'!B14</f>
        <v>-17846</v>
      </c>
      <c r="C4" s="103">
        <f>'P&amp;L'!C14</f>
        <v>-19853</v>
      </c>
      <c r="D4" s="103">
        <f>'P&amp;L'!D14</f>
        <v>-22442</v>
      </c>
      <c r="E4" s="103">
        <f>'P&amp;L'!E14</f>
        <v>-26665</v>
      </c>
      <c r="F4" s="108">
        <f>'P&amp;L'!F14</f>
        <v>-86807</v>
      </c>
      <c r="G4" s="103">
        <f>'P&amp;L'!G14</f>
        <v>-27162</v>
      </c>
      <c r="H4" s="103">
        <f>'P&amp;L'!H14</f>
        <v>-30235</v>
      </c>
      <c r="I4" s="103">
        <f>'P&amp;L'!I14</f>
        <v>-30701</v>
      </c>
      <c r="J4" s="103">
        <f>'P&amp;L'!J14</f>
        <v>-35552</v>
      </c>
      <c r="K4" s="108">
        <f>'P&amp;L'!K14</f>
        <v>-123649</v>
      </c>
      <c r="L4" s="103">
        <f>'P&amp;L'!L14</f>
        <v>-39521</v>
      </c>
      <c r="M4" s="103">
        <f>'P&amp;L'!M14</f>
        <v>-43611</v>
      </c>
      <c r="N4" s="103">
        <f>'P&amp;L'!N14</f>
        <v>-43860</v>
      </c>
      <c r="O4" s="103">
        <f>'P&amp;L'!O14</f>
        <v>-46933</v>
      </c>
      <c r="P4" s="108">
        <f>'P&amp;L'!P14</f>
        <v>-173925</v>
      </c>
      <c r="Q4" s="103">
        <f>'P&amp;L'!Q14</f>
        <v>-45318</v>
      </c>
      <c r="R4" s="103">
        <f>'P&amp;L'!R14</f>
        <v>-47544</v>
      </c>
      <c r="S4" s="103">
        <f>'P&amp;L'!S14</f>
        <v>-41796</v>
      </c>
      <c r="T4" s="103">
        <f>'P&amp;L'!T14</f>
        <v>-44605</v>
      </c>
      <c r="U4" s="108">
        <f>'P&amp;L'!U14</f>
        <v>-179263</v>
      </c>
      <c r="V4" s="103">
        <f>'P&amp;L'!V14</f>
        <v>-46577</v>
      </c>
      <c r="W4" s="103">
        <f>'P&amp;L'!W14</f>
        <v>-44015</v>
      </c>
    </row>
    <row r="5" spans="1:23" s="2" customFormat="1" ht="15" customHeight="1" x14ac:dyDescent="0.35">
      <c r="A5" s="31" t="s">
        <v>95</v>
      </c>
      <c r="B5" s="65">
        <f>'Reconciliation Adj EBITDA'!B9</f>
        <v>1478</v>
      </c>
      <c r="C5" s="65">
        <f>'Reconciliation Adj EBITDA'!C9</f>
        <v>1162</v>
      </c>
      <c r="D5" s="65">
        <f>'Reconciliation Adj EBITDA'!D9</f>
        <v>1714</v>
      </c>
      <c r="E5" s="65">
        <f>'Reconciliation Adj EBITDA'!E9</f>
        <v>2167</v>
      </c>
      <c r="F5" s="76">
        <f>'Reconciliation Adj EBITDA'!F9</f>
        <v>6520</v>
      </c>
      <c r="G5" s="65">
        <f>'Reconciliation Adj EBITDA'!G9</f>
        <v>2402</v>
      </c>
      <c r="H5" s="65">
        <f>'Reconciliation Adj EBITDA'!H9</f>
        <v>2179</v>
      </c>
      <c r="I5" s="65">
        <f>'Reconciliation Adj EBITDA'!I9</f>
        <v>4667</v>
      </c>
      <c r="J5" s="65">
        <f>'Reconciliation Adj EBITDA'!J9</f>
        <v>2860</v>
      </c>
      <c r="K5" s="76">
        <f>'Reconciliation Adj EBITDA'!K9</f>
        <v>12108</v>
      </c>
      <c r="L5" s="65">
        <f>'Reconciliation Adj EBITDA'!L9</f>
        <v>3916</v>
      </c>
      <c r="M5" s="65">
        <f>'Reconciliation Adj EBITDA'!M9</f>
        <v>4461</v>
      </c>
      <c r="N5" s="65">
        <f>'Reconciliation Adj EBITDA'!N9</f>
        <v>6361</v>
      </c>
      <c r="O5" s="65">
        <f>'Reconciliation Adj EBITDA'!O9</f>
        <v>6355</v>
      </c>
      <c r="P5" s="76">
        <f>'Reconciliation Adj EBITDA'!P9</f>
        <v>21093</v>
      </c>
      <c r="Q5" s="65">
        <f>'Reconciliation Adj EBITDA'!Q9</f>
        <v>4555</v>
      </c>
      <c r="R5" s="65">
        <f>'Reconciliation Adj EBITDA'!R9</f>
        <v>6771</v>
      </c>
      <c r="S5" s="65">
        <f>'Reconciliation Adj EBITDA'!S9</f>
        <v>4901</v>
      </c>
      <c r="T5" s="65">
        <f>'Reconciliation Adj EBITDA'!T9</f>
        <v>5005</v>
      </c>
      <c r="U5" s="76">
        <f>'Reconciliation Adj EBITDA'!U9</f>
        <v>21232</v>
      </c>
      <c r="V5" s="65">
        <f>'Reconciliation Adj EBITDA'!V9</f>
        <v>4025</v>
      </c>
      <c r="W5" s="65">
        <f>'Reconciliation Adj EBITDA'!W9</f>
        <v>4203</v>
      </c>
    </row>
    <row r="6" spans="1:23" s="2" customFormat="1" ht="15" customHeight="1" x14ac:dyDescent="0.35">
      <c r="A6" s="31" t="s">
        <v>106</v>
      </c>
      <c r="B6" s="65">
        <f>'Reconciliation Adj EBITDA'!B18</f>
        <v>1144</v>
      </c>
      <c r="C6" s="65">
        <f>'Reconciliation Adj EBITDA'!C18</f>
        <v>1977</v>
      </c>
      <c r="D6" s="65">
        <f>'Reconciliation Adj EBITDA'!D18</f>
        <v>1690</v>
      </c>
      <c r="E6" s="65">
        <f>'Reconciliation Adj EBITDA'!E18</f>
        <v>3183</v>
      </c>
      <c r="F6" s="76">
        <f>'Reconciliation Adj EBITDA'!F18</f>
        <v>7995</v>
      </c>
      <c r="G6" s="65">
        <f>'Reconciliation Adj EBITDA'!G18</f>
        <v>2007</v>
      </c>
      <c r="H6" s="65">
        <f>'Reconciliation Adj EBITDA'!H18</f>
        <v>1457</v>
      </c>
      <c r="I6" s="65">
        <f>'Reconciliation Adj EBITDA'!I18</f>
        <v>1640</v>
      </c>
      <c r="J6" s="65">
        <f>'Reconciliation Adj EBITDA'!J18</f>
        <v>2106</v>
      </c>
      <c r="K6" s="76">
        <f>'Reconciliation Adj EBITDA'!K18</f>
        <v>7211</v>
      </c>
      <c r="L6" s="65">
        <f>'Reconciliation Adj EBITDA'!L18</f>
        <v>2944</v>
      </c>
      <c r="M6" s="65">
        <f>'Reconciliation Adj EBITDA'!M18</f>
        <v>3092</v>
      </c>
      <c r="N6" s="65">
        <f>'Reconciliation Adj EBITDA'!N18</f>
        <v>2822</v>
      </c>
      <c r="O6" s="65">
        <f>'Reconciliation Adj EBITDA'!O18</f>
        <v>2369</v>
      </c>
      <c r="P6" s="76">
        <f>'Reconciliation Adj EBITDA'!P18</f>
        <v>11226</v>
      </c>
      <c r="Q6" s="65">
        <f>'Reconciliation Adj EBITDA'!Q18</f>
        <v>2221</v>
      </c>
      <c r="R6" s="65">
        <f>'Reconciliation Adj EBITDA'!R18</f>
        <v>2245</v>
      </c>
      <c r="S6" s="65">
        <f>'Reconciliation Adj EBITDA'!S18</f>
        <v>2724</v>
      </c>
      <c r="T6" s="65">
        <f>'Reconciliation Adj EBITDA'!T18</f>
        <v>3412</v>
      </c>
      <c r="U6" s="76">
        <f>'Reconciliation Adj EBITDA'!U18</f>
        <v>10602</v>
      </c>
      <c r="V6" s="65">
        <f>'Reconciliation Adj EBITDA'!V18</f>
        <v>3477</v>
      </c>
      <c r="W6" s="65">
        <f>'Reconciliation Adj EBITDA'!W18</f>
        <v>3534</v>
      </c>
    </row>
    <row r="7" spans="1:23" s="2" customFormat="1" ht="15" customHeight="1" x14ac:dyDescent="0.35">
      <c r="A7" s="31" t="s">
        <v>99</v>
      </c>
      <c r="B7" s="65">
        <f>'Reconciliation Adj EBITDA'!B13</f>
        <v>42</v>
      </c>
      <c r="C7" s="65">
        <f>'Reconciliation Adj EBITDA'!C13</f>
        <v>40</v>
      </c>
      <c r="D7" s="65">
        <f>'Reconciliation Adj EBITDA'!D13</f>
        <v>41</v>
      </c>
      <c r="E7" s="65">
        <f>'Reconciliation Adj EBITDA'!E13</f>
        <v>40</v>
      </c>
      <c r="F7" s="76">
        <f>'Reconciliation Adj EBITDA'!F13</f>
        <v>163</v>
      </c>
      <c r="G7" s="65">
        <f>'Reconciliation Adj EBITDA'!G13</f>
        <v>52</v>
      </c>
      <c r="H7" s="65">
        <f>'Reconciliation Adj EBITDA'!H13</f>
        <v>53</v>
      </c>
      <c r="I7" s="65">
        <f>'Reconciliation Adj EBITDA'!I13</f>
        <v>55</v>
      </c>
      <c r="J7" s="65">
        <f>'Reconciliation Adj EBITDA'!J13</f>
        <v>52</v>
      </c>
      <c r="K7" s="76">
        <f>'Reconciliation Adj EBITDA'!K13</f>
        <v>211</v>
      </c>
      <c r="L7" s="65">
        <f>'Reconciliation Adj EBITDA'!L13</f>
        <v>146</v>
      </c>
      <c r="M7" s="65">
        <f>'Reconciliation Adj EBITDA'!M13</f>
        <v>151</v>
      </c>
      <c r="N7" s="65">
        <f>'Reconciliation Adj EBITDA'!N13</f>
        <v>161</v>
      </c>
      <c r="O7" s="65">
        <f>'Reconciliation Adj EBITDA'!O13</f>
        <v>162</v>
      </c>
      <c r="P7" s="76">
        <f>'Reconciliation Adj EBITDA'!P13</f>
        <v>621</v>
      </c>
      <c r="Q7" s="65">
        <f>'Reconciliation Adj EBITDA'!Q13</f>
        <v>220</v>
      </c>
      <c r="R7" s="65">
        <f>'Reconciliation Adj EBITDA'!R13</f>
        <v>212</v>
      </c>
      <c r="S7" s="65">
        <f>'Reconciliation Adj EBITDA'!S13</f>
        <v>208</v>
      </c>
      <c r="T7" s="65">
        <f>'Reconciliation Adj EBITDA'!T13</f>
        <v>204</v>
      </c>
      <c r="U7" s="76">
        <f>'Reconciliation Adj EBITDA'!U13</f>
        <v>844</v>
      </c>
      <c r="V7" s="65">
        <f>'Reconciliation Adj EBITDA'!V13</f>
        <v>193</v>
      </c>
      <c r="W7" s="65">
        <f>'Reconciliation Adj EBITDA'!W13</f>
        <v>191</v>
      </c>
    </row>
    <row r="8" spans="1:23" s="2" customFormat="1" ht="15" customHeight="1" x14ac:dyDescent="0.35">
      <c r="A8" s="31" t="s">
        <v>107</v>
      </c>
      <c r="B8" s="65">
        <f>'Reconciliation Adj EBITDA'!B28</f>
        <v>0</v>
      </c>
      <c r="C8" s="65">
        <f>'Reconciliation Adj EBITDA'!C28</f>
        <v>0</v>
      </c>
      <c r="D8" s="65">
        <f>'Reconciliation Adj EBITDA'!D28</f>
        <v>0</v>
      </c>
      <c r="E8" s="65">
        <f>'Reconciliation Adj EBITDA'!E28</f>
        <v>0</v>
      </c>
      <c r="F8" s="76">
        <f>'Reconciliation Adj EBITDA'!F28</f>
        <v>0</v>
      </c>
      <c r="G8" s="65">
        <f>'Reconciliation Adj EBITDA'!G28</f>
        <v>0</v>
      </c>
      <c r="H8" s="65">
        <f>'Reconciliation Adj EBITDA'!H28</f>
        <v>0</v>
      </c>
      <c r="I8" s="65">
        <f>'Reconciliation Adj EBITDA'!I28</f>
        <v>0</v>
      </c>
      <c r="J8" s="65">
        <f>'Reconciliation Adj EBITDA'!J28</f>
        <v>0</v>
      </c>
      <c r="K8" s="76">
        <f>'Reconciliation Adj EBITDA'!K28</f>
        <v>0</v>
      </c>
      <c r="L8" s="65">
        <f>'Reconciliation Adj EBITDA'!L28</f>
        <v>0</v>
      </c>
      <c r="M8" s="65">
        <f>'Reconciliation Adj EBITDA'!M28</f>
        <v>0</v>
      </c>
      <c r="N8" s="65">
        <f>'Reconciliation Adj EBITDA'!N28</f>
        <v>0</v>
      </c>
      <c r="O8" s="65">
        <f>'Reconciliation Adj EBITDA'!O28</f>
        <v>2911</v>
      </c>
      <c r="P8" s="76">
        <f>'Reconciliation Adj EBITDA'!P28</f>
        <v>2911</v>
      </c>
      <c r="Q8" s="65">
        <f>'Reconciliation Adj EBITDA'!Q28</f>
        <v>-348</v>
      </c>
      <c r="R8" s="65">
        <f>'Reconciliation Adj EBITDA'!R28</f>
        <v>16</v>
      </c>
      <c r="S8" s="65">
        <f>'Reconciliation Adj EBITDA'!S28</f>
        <v>0</v>
      </c>
      <c r="T8" s="65">
        <f>'Reconciliation Adj EBITDA'!T28</f>
        <v>0</v>
      </c>
      <c r="U8" s="76">
        <f>'Reconciliation Adj EBITDA'!U28</f>
        <v>-332</v>
      </c>
      <c r="V8" s="65">
        <f>'Reconciliation Adj EBITDA'!V28</f>
        <v>0</v>
      </c>
      <c r="W8" s="65">
        <f>'Reconciliation Adj EBITDA'!W28</f>
        <v>124</v>
      </c>
    </row>
    <row r="9" spans="1:23" s="2" customFormat="1" ht="15" customHeight="1" x14ac:dyDescent="0.35">
      <c r="A9" s="31" t="s">
        <v>102</v>
      </c>
      <c r="B9" s="96">
        <f>'Reconciliation Adj EBITDA'!B24</f>
        <v>109</v>
      </c>
      <c r="C9" s="96">
        <f>'Reconciliation Adj EBITDA'!C24</f>
        <v>115</v>
      </c>
      <c r="D9" s="96">
        <f>'Reconciliation Adj EBITDA'!D24</f>
        <v>54</v>
      </c>
      <c r="E9" s="96">
        <f>'Reconciliation Adj EBITDA'!E24</f>
        <v>46</v>
      </c>
      <c r="F9" s="94">
        <f>'Reconciliation Adj EBITDA'!F24</f>
        <v>324</v>
      </c>
      <c r="G9" s="96">
        <f>'Reconciliation Adj EBITDA'!G24</f>
        <v>40</v>
      </c>
      <c r="H9" s="96">
        <f>'Reconciliation Adj EBITDA'!H24</f>
        <v>44</v>
      </c>
      <c r="I9" s="96">
        <f>'Reconciliation Adj EBITDA'!I24</f>
        <v>3</v>
      </c>
      <c r="J9" s="96">
        <f>'Reconciliation Adj EBITDA'!J24</f>
        <v>-3</v>
      </c>
      <c r="K9" s="94">
        <f>'Reconciliation Adj EBITDA'!K24</f>
        <v>85</v>
      </c>
      <c r="L9" s="96">
        <f>'Reconciliation Adj EBITDA'!L24</f>
        <v>0</v>
      </c>
      <c r="M9" s="96">
        <f>'Reconciliation Adj EBITDA'!M24</f>
        <v>0</v>
      </c>
      <c r="N9" s="96">
        <f>'Reconciliation Adj EBITDA'!N24</f>
        <v>0</v>
      </c>
      <c r="O9" s="96">
        <f>'Reconciliation Adj EBITDA'!O24</f>
        <v>0</v>
      </c>
      <c r="P9" s="94">
        <f>'Reconciliation Adj EBITDA'!P24</f>
        <v>0</v>
      </c>
      <c r="Q9" s="96">
        <f>'Reconciliation Adj EBITDA'!Q24</f>
        <v>0</v>
      </c>
      <c r="R9" s="96">
        <f>'Reconciliation Adj EBITDA'!R24</f>
        <v>0</v>
      </c>
      <c r="S9" s="96">
        <f>'Reconciliation Adj EBITDA'!S24</f>
        <v>0</v>
      </c>
      <c r="T9" s="96">
        <f>'Reconciliation Adj EBITDA'!T24</f>
        <v>0</v>
      </c>
      <c r="U9" s="94">
        <f>'Reconciliation Adj EBITDA'!U24</f>
        <v>0</v>
      </c>
      <c r="V9" s="96">
        <f>'Reconciliation Adj EBITDA'!V24</f>
        <v>0</v>
      </c>
      <c r="W9" s="96">
        <f>'Reconciliation Adj EBITDA'!W24</f>
        <v>0</v>
      </c>
    </row>
    <row r="10" spans="1:23" s="2" customFormat="1" ht="15" customHeight="1" x14ac:dyDescent="0.4">
      <c r="A10" s="1" t="s">
        <v>108</v>
      </c>
      <c r="B10" s="104">
        <f t="shared" ref="B10:P10" si="0">SUM(B4:B9)</f>
        <v>-15073</v>
      </c>
      <c r="C10" s="104">
        <f t="shared" si="0"/>
        <v>-16559</v>
      </c>
      <c r="D10" s="104">
        <f t="shared" si="0"/>
        <v>-18943</v>
      </c>
      <c r="E10" s="104">
        <f t="shared" si="0"/>
        <v>-21229</v>
      </c>
      <c r="F10" s="109">
        <f t="shared" si="0"/>
        <v>-71805</v>
      </c>
      <c r="G10" s="104">
        <f t="shared" si="0"/>
        <v>-22661</v>
      </c>
      <c r="H10" s="104">
        <f t="shared" si="0"/>
        <v>-26502</v>
      </c>
      <c r="I10" s="104">
        <f t="shared" si="0"/>
        <v>-24336</v>
      </c>
      <c r="J10" s="104">
        <f t="shared" si="0"/>
        <v>-30537</v>
      </c>
      <c r="K10" s="109">
        <f t="shared" si="0"/>
        <v>-104034</v>
      </c>
      <c r="L10" s="104">
        <f t="shared" si="0"/>
        <v>-32515</v>
      </c>
      <c r="M10" s="104">
        <f t="shared" si="0"/>
        <v>-35907</v>
      </c>
      <c r="N10" s="104">
        <f t="shared" si="0"/>
        <v>-34516</v>
      </c>
      <c r="O10" s="104">
        <f t="shared" si="0"/>
        <v>-35136</v>
      </c>
      <c r="P10" s="109">
        <f t="shared" si="0"/>
        <v>-138074</v>
      </c>
      <c r="Q10" s="105">
        <f>SUM(Q4:Q9)</f>
        <v>-38670</v>
      </c>
      <c r="R10" s="105">
        <f>SUM(R4:R9)</f>
        <v>-38300</v>
      </c>
      <c r="S10" s="105">
        <f>SUM(S4:S9)</f>
        <v>-33963</v>
      </c>
      <c r="T10" s="104">
        <f t="shared" ref="T10:U10" si="1">SUM(T4:T9)</f>
        <v>-35984</v>
      </c>
      <c r="U10" s="109">
        <f t="shared" si="1"/>
        <v>-146917</v>
      </c>
      <c r="V10" s="105">
        <f>SUM(V4:V9)</f>
        <v>-38882</v>
      </c>
      <c r="W10" s="105">
        <f>SUM(W4:W9)</f>
        <v>-35963</v>
      </c>
    </row>
    <row r="11" spans="1:23" s="2" customFormat="1" ht="15" customHeight="1" x14ac:dyDescent="0.4">
      <c r="A11" s="1" t="s">
        <v>109</v>
      </c>
      <c r="B11" s="106">
        <f>'P&amp;L'!B15</f>
        <v>-53083</v>
      </c>
      <c r="C11" s="106">
        <f>'P&amp;L'!C15</f>
        <v>-59727</v>
      </c>
      <c r="D11" s="106">
        <f>'P&amp;L'!D15</f>
        <v>-56310</v>
      </c>
      <c r="E11" s="106">
        <f>'P&amp;L'!E15</f>
        <v>-60410</v>
      </c>
      <c r="F11" s="110">
        <f>'P&amp;L'!F15</f>
        <v>-229530</v>
      </c>
      <c r="G11" s="106">
        <f>'P&amp;L'!G15</f>
        <v>-64473</v>
      </c>
      <c r="H11" s="106">
        <f>'P&amp;L'!H15</f>
        <v>-69225</v>
      </c>
      <c r="I11" s="106">
        <f>'P&amp;L'!I15</f>
        <v>-68164</v>
      </c>
      <c r="J11" s="106">
        <f>'P&amp;L'!J15</f>
        <v>-80991</v>
      </c>
      <c r="K11" s="110">
        <f>'P&amp;L'!K15</f>
        <v>-282853</v>
      </c>
      <c r="L11" s="106">
        <f>'P&amp;L'!L15</f>
        <v>-90730</v>
      </c>
      <c r="M11" s="106">
        <f>'P&amp;L'!M15</f>
        <v>-97900</v>
      </c>
      <c r="N11" s="106">
        <f>'P&amp;L'!N15</f>
        <v>-95184</v>
      </c>
      <c r="O11" s="106">
        <f>'P&amp;L'!O15</f>
        <v>-96834</v>
      </c>
      <c r="P11" s="110">
        <f>'P&amp;L'!P15</f>
        <v>-380649</v>
      </c>
      <c r="Q11" s="106">
        <f>'P&amp;L'!Q15</f>
        <v>-95649</v>
      </c>
      <c r="R11" s="106">
        <f>'P&amp;L'!R15</f>
        <v>-92726</v>
      </c>
      <c r="S11" s="106">
        <f>'P&amp;L'!S15</f>
        <v>-90526</v>
      </c>
      <c r="T11" s="106">
        <f>'P&amp;L'!T15</f>
        <v>-93806</v>
      </c>
      <c r="U11" s="110">
        <f>'P&amp;L'!U15</f>
        <v>-372707</v>
      </c>
      <c r="V11" s="106">
        <f>'P&amp;L'!V15</f>
        <v>-95909</v>
      </c>
      <c r="W11" s="106">
        <f>'P&amp;L'!W15</f>
        <v>-95503</v>
      </c>
    </row>
    <row r="12" spans="1:23" s="2" customFormat="1" ht="15" customHeight="1" x14ac:dyDescent="0.35">
      <c r="A12" s="31" t="s">
        <v>95</v>
      </c>
      <c r="B12" s="65">
        <f>'Reconciliation Adj EBITDA'!B10</f>
        <v>3454</v>
      </c>
      <c r="C12" s="65">
        <f>'Reconciliation Adj EBITDA'!C10</f>
        <v>2903</v>
      </c>
      <c r="D12" s="65">
        <f>'Reconciliation Adj EBITDA'!D10</f>
        <v>1715</v>
      </c>
      <c r="E12" s="65">
        <f>'Reconciliation Adj EBITDA'!E10</f>
        <v>3606</v>
      </c>
      <c r="F12" s="76">
        <f>'Reconciliation Adj EBITDA'!F10</f>
        <v>11678</v>
      </c>
      <c r="G12" s="65">
        <f>'Reconciliation Adj EBITDA'!G10</f>
        <v>3390</v>
      </c>
      <c r="H12" s="65">
        <f>'Reconciliation Adj EBITDA'!H10</f>
        <v>2488</v>
      </c>
      <c r="I12" s="65">
        <f>'Reconciliation Adj EBITDA'!I10</f>
        <v>5143</v>
      </c>
      <c r="J12" s="65">
        <f>'Reconciliation Adj EBITDA'!J10</f>
        <v>5816</v>
      </c>
      <c r="K12" s="76">
        <f>'Reconciliation Adj EBITDA'!K10</f>
        <v>16838</v>
      </c>
      <c r="L12" s="65">
        <f>'Reconciliation Adj EBITDA'!L10</f>
        <v>6710</v>
      </c>
      <c r="M12" s="65">
        <f>'Reconciliation Adj EBITDA'!M10</f>
        <v>6401</v>
      </c>
      <c r="N12" s="65">
        <f>'Reconciliation Adj EBITDA'!N10</f>
        <v>9897</v>
      </c>
      <c r="O12" s="65">
        <f>'Reconciliation Adj EBITDA'!O10</f>
        <v>8377</v>
      </c>
      <c r="P12" s="76">
        <f>'Reconciliation Adj EBITDA'!P10</f>
        <v>31386</v>
      </c>
      <c r="Q12" s="65">
        <f>'Reconciliation Adj EBITDA'!Q10</f>
        <v>7832</v>
      </c>
      <c r="R12" s="65">
        <f>'Reconciliation Adj EBITDA'!R10</f>
        <v>8668</v>
      </c>
      <c r="S12" s="65">
        <f>'Reconciliation Adj EBITDA'!S10</f>
        <v>6952</v>
      </c>
      <c r="T12" s="65">
        <f>'Reconciliation Adj EBITDA'!T10</f>
        <v>5793</v>
      </c>
      <c r="U12" s="76">
        <f>'Reconciliation Adj EBITDA'!U10</f>
        <v>29244</v>
      </c>
      <c r="V12" s="65">
        <f>'Reconciliation Adj EBITDA'!V10</f>
        <v>6201</v>
      </c>
      <c r="W12" s="65">
        <f>'Reconciliation Adj EBITDA'!W10</f>
        <v>5693</v>
      </c>
    </row>
    <row r="13" spans="1:23" s="2" customFormat="1" ht="15" customHeight="1" x14ac:dyDescent="0.35">
      <c r="A13" s="31" t="s">
        <v>106</v>
      </c>
      <c r="B13" s="65">
        <f>'Reconciliation Adj EBITDA'!B19</f>
        <v>992</v>
      </c>
      <c r="C13" s="65">
        <f>'Reconciliation Adj EBITDA'!C19</f>
        <v>1112</v>
      </c>
      <c r="D13" s="65">
        <f>'Reconciliation Adj EBITDA'!D19</f>
        <v>1330</v>
      </c>
      <c r="E13" s="65">
        <f>'Reconciliation Adj EBITDA'!E19</f>
        <v>1744</v>
      </c>
      <c r="F13" s="76">
        <f>'Reconciliation Adj EBITDA'!F19</f>
        <v>5178</v>
      </c>
      <c r="G13" s="65">
        <f>'Reconciliation Adj EBITDA'!G19</f>
        <v>1771</v>
      </c>
      <c r="H13" s="65">
        <f>'Reconciliation Adj EBITDA'!H19</f>
        <v>2019</v>
      </c>
      <c r="I13" s="65">
        <f>'Reconciliation Adj EBITDA'!I19</f>
        <v>1813</v>
      </c>
      <c r="J13" s="65">
        <f>'Reconciliation Adj EBITDA'!J19</f>
        <v>2153</v>
      </c>
      <c r="K13" s="76">
        <f>'Reconciliation Adj EBITDA'!K19</f>
        <v>7757</v>
      </c>
      <c r="L13" s="65">
        <f>'Reconciliation Adj EBITDA'!L19</f>
        <v>4961</v>
      </c>
      <c r="M13" s="65">
        <f>'Reconciliation Adj EBITDA'!M19</f>
        <v>4925</v>
      </c>
      <c r="N13" s="65">
        <f>'Reconciliation Adj EBITDA'!N19</f>
        <v>5102</v>
      </c>
      <c r="O13" s="65">
        <f>'Reconciliation Adj EBITDA'!O19</f>
        <v>4856</v>
      </c>
      <c r="P13" s="76">
        <f>'Reconciliation Adj EBITDA'!P19</f>
        <v>19844</v>
      </c>
      <c r="Q13" s="65">
        <f>'Reconciliation Adj EBITDA'!Q19</f>
        <v>4454</v>
      </c>
      <c r="R13" s="65">
        <f>'Reconciliation Adj EBITDA'!R19</f>
        <v>4518</v>
      </c>
      <c r="S13" s="65">
        <f>'Reconciliation Adj EBITDA'!S19</f>
        <v>4442</v>
      </c>
      <c r="T13" s="65">
        <f>'Reconciliation Adj EBITDA'!T19</f>
        <v>4831</v>
      </c>
      <c r="U13" s="76">
        <f>'Reconciliation Adj EBITDA'!U19</f>
        <v>18245</v>
      </c>
      <c r="V13" s="65">
        <f>'Reconciliation Adj EBITDA'!V19</f>
        <v>4864</v>
      </c>
      <c r="W13" s="65">
        <f>'Reconciliation Adj EBITDA'!W19</f>
        <v>5109</v>
      </c>
    </row>
    <row r="14" spans="1:23" s="2" customFormat="1" ht="15" customHeight="1" x14ac:dyDescent="0.35">
      <c r="A14" s="31" t="s">
        <v>99</v>
      </c>
      <c r="B14" s="65">
        <f>'Reconciliation Adj EBITDA'!B14</f>
        <v>39</v>
      </c>
      <c r="C14" s="65">
        <f>'Reconciliation Adj EBITDA'!C14</f>
        <v>39</v>
      </c>
      <c r="D14" s="65">
        <f>'Reconciliation Adj EBITDA'!D14</f>
        <v>37</v>
      </c>
      <c r="E14" s="65">
        <f>'Reconciliation Adj EBITDA'!E14</f>
        <v>38</v>
      </c>
      <c r="F14" s="76">
        <f>'Reconciliation Adj EBITDA'!F14</f>
        <v>153</v>
      </c>
      <c r="G14" s="65">
        <f>'Reconciliation Adj EBITDA'!G14</f>
        <v>34</v>
      </c>
      <c r="H14" s="65">
        <f>'Reconciliation Adj EBITDA'!H14</f>
        <v>35</v>
      </c>
      <c r="I14" s="65">
        <f>'Reconciliation Adj EBITDA'!I14</f>
        <v>38</v>
      </c>
      <c r="J14" s="65">
        <f>'Reconciliation Adj EBITDA'!J14</f>
        <v>37</v>
      </c>
      <c r="K14" s="76">
        <f>'Reconciliation Adj EBITDA'!K14</f>
        <v>144</v>
      </c>
      <c r="L14" s="65">
        <f>'Reconciliation Adj EBITDA'!L14</f>
        <v>59</v>
      </c>
      <c r="M14" s="65">
        <f>'Reconciliation Adj EBITDA'!M14</f>
        <v>60</v>
      </c>
      <c r="N14" s="65">
        <f>'Reconciliation Adj EBITDA'!N14</f>
        <v>65</v>
      </c>
      <c r="O14" s="65">
        <f>'Reconciliation Adj EBITDA'!O14</f>
        <v>63</v>
      </c>
      <c r="P14" s="76">
        <f>'Reconciliation Adj EBITDA'!P14</f>
        <v>247</v>
      </c>
      <c r="Q14" s="65">
        <f>'Reconciliation Adj EBITDA'!Q14</f>
        <v>79</v>
      </c>
      <c r="R14" s="65">
        <f>'Reconciliation Adj EBITDA'!R14</f>
        <v>75</v>
      </c>
      <c r="S14" s="65">
        <f>'Reconciliation Adj EBITDA'!S14</f>
        <v>83</v>
      </c>
      <c r="T14" s="65">
        <f>'Reconciliation Adj EBITDA'!T14</f>
        <v>88</v>
      </c>
      <c r="U14" s="76">
        <f>'Reconciliation Adj EBITDA'!U14</f>
        <v>325</v>
      </c>
      <c r="V14" s="65">
        <f>'Reconciliation Adj EBITDA'!V14</f>
        <v>72</v>
      </c>
      <c r="W14" s="65">
        <f>'Reconciliation Adj EBITDA'!W14</f>
        <v>71</v>
      </c>
    </row>
    <row r="15" spans="1:23" s="2" customFormat="1" ht="15" customHeight="1" x14ac:dyDescent="0.35">
      <c r="A15" s="31" t="s">
        <v>107</v>
      </c>
      <c r="B15" s="96">
        <f>'Reconciliation Adj EBITDA'!B29</f>
        <v>0</v>
      </c>
      <c r="C15" s="96">
        <f>'Reconciliation Adj EBITDA'!C29</f>
        <v>0</v>
      </c>
      <c r="D15" s="96">
        <f>'Reconciliation Adj EBITDA'!D29</f>
        <v>0</v>
      </c>
      <c r="E15" s="96">
        <f>'Reconciliation Adj EBITDA'!E29</f>
        <v>0</v>
      </c>
      <c r="F15" s="94">
        <f>'Reconciliation Adj EBITDA'!F29</f>
        <v>0</v>
      </c>
      <c r="G15" s="96">
        <f>'Reconciliation Adj EBITDA'!G29</f>
        <v>0</v>
      </c>
      <c r="H15" s="96">
        <f>'Reconciliation Adj EBITDA'!H29</f>
        <v>0</v>
      </c>
      <c r="I15" s="96">
        <f>'Reconciliation Adj EBITDA'!I29</f>
        <v>0</v>
      </c>
      <c r="J15" s="96">
        <f>'Reconciliation Adj EBITDA'!J29</f>
        <v>0</v>
      </c>
      <c r="K15" s="94">
        <f>'Reconciliation Adj EBITDA'!K29</f>
        <v>0</v>
      </c>
      <c r="L15" s="96">
        <f>'Reconciliation Adj EBITDA'!L29</f>
        <v>0</v>
      </c>
      <c r="M15" s="96">
        <f>'Reconciliation Adj EBITDA'!M29</f>
        <v>690</v>
      </c>
      <c r="N15" s="96">
        <f>'Reconciliation Adj EBITDA'!N29</f>
        <v>0</v>
      </c>
      <c r="O15" s="96">
        <f>'Reconciliation Adj EBITDA'!O29</f>
        <v>1135</v>
      </c>
      <c r="P15" s="94">
        <f>'Reconciliation Adj EBITDA'!P29</f>
        <v>1825</v>
      </c>
      <c r="Q15" s="96">
        <f>'Reconciliation Adj EBITDA'!Q29</f>
        <v>107</v>
      </c>
      <c r="R15" s="96">
        <f>'Reconciliation Adj EBITDA'!R29</f>
        <v>183</v>
      </c>
      <c r="S15" s="96">
        <f>'Reconciliation Adj EBITDA'!S29</f>
        <v>0</v>
      </c>
      <c r="T15" s="96">
        <f>'Reconciliation Adj EBITDA'!T29</f>
        <v>0</v>
      </c>
      <c r="U15" s="94">
        <f>'Reconciliation Adj EBITDA'!U29</f>
        <v>290</v>
      </c>
      <c r="V15" s="96">
        <f>'Reconciliation Adj EBITDA'!V29</f>
        <v>1890</v>
      </c>
      <c r="W15" s="96">
        <f>'Reconciliation Adj EBITDA'!W29</f>
        <v>175</v>
      </c>
    </row>
    <row r="16" spans="1:23" s="2" customFormat="1" ht="15" customHeight="1" x14ac:dyDescent="0.4">
      <c r="A16" s="1" t="s">
        <v>110</v>
      </c>
      <c r="B16" s="104">
        <f t="shared" ref="B16" si="2">SUM(B11:B15)</f>
        <v>-48598</v>
      </c>
      <c r="C16" s="104">
        <f t="shared" ref="C16" si="3">SUM(C11:C15)</f>
        <v>-55673</v>
      </c>
      <c r="D16" s="104">
        <f t="shared" ref="D16" si="4">SUM(D11:D15)</f>
        <v>-53228</v>
      </c>
      <c r="E16" s="104">
        <f t="shared" ref="E16" si="5">SUM(E11:E15)</f>
        <v>-55022</v>
      </c>
      <c r="F16" s="109">
        <f t="shared" ref="F16" si="6">SUM(F11:F15)</f>
        <v>-212521</v>
      </c>
      <c r="G16" s="104">
        <f t="shared" ref="G16" si="7">SUM(G11:G15)</f>
        <v>-59278</v>
      </c>
      <c r="H16" s="104">
        <f t="shared" ref="H16" si="8">SUM(H11:H15)</f>
        <v>-64683</v>
      </c>
      <c r="I16" s="104">
        <f t="shared" ref="I16" si="9">SUM(I11:I15)</f>
        <v>-61170</v>
      </c>
      <c r="J16" s="104">
        <f t="shared" ref="J16" si="10">SUM(J11:J15)</f>
        <v>-72985</v>
      </c>
      <c r="K16" s="109">
        <f t="shared" ref="K16" si="11">SUM(K11:K15)</f>
        <v>-258114</v>
      </c>
      <c r="L16" s="104">
        <f t="shared" ref="L16" si="12">SUM(L11:L15)</f>
        <v>-79000</v>
      </c>
      <c r="M16" s="104">
        <f t="shared" ref="M16" si="13">SUM(M11:M15)</f>
        <v>-85824</v>
      </c>
      <c r="N16" s="104">
        <f t="shared" ref="N16" si="14">SUM(N11:N15)</f>
        <v>-80120</v>
      </c>
      <c r="O16" s="104">
        <f t="shared" ref="O16" si="15">SUM(O11:O15)</f>
        <v>-82403</v>
      </c>
      <c r="P16" s="109">
        <f t="shared" ref="P16" si="16">SUM(P11:P15)</f>
        <v>-327347</v>
      </c>
      <c r="Q16" s="104">
        <f t="shared" ref="Q16:U16" si="17">SUM(Q11:Q15)</f>
        <v>-83177</v>
      </c>
      <c r="R16" s="104">
        <f t="shared" si="17"/>
        <v>-79282</v>
      </c>
      <c r="S16" s="104">
        <f t="shared" si="17"/>
        <v>-79049</v>
      </c>
      <c r="T16" s="104">
        <f t="shared" si="17"/>
        <v>-83094</v>
      </c>
      <c r="U16" s="109">
        <f t="shared" si="17"/>
        <v>-324603</v>
      </c>
      <c r="V16" s="104">
        <f t="shared" ref="V16:W16" si="18">SUM(V11:V15)</f>
        <v>-82882</v>
      </c>
      <c r="W16" s="104">
        <f t="shared" si="18"/>
        <v>-84455</v>
      </c>
    </row>
    <row r="17" spans="1:23" s="2" customFormat="1" ht="15" customHeight="1" x14ac:dyDescent="0.4">
      <c r="A17" s="1" t="s">
        <v>111</v>
      </c>
      <c r="B17" s="106">
        <f>'P&amp;L'!B16</f>
        <v>-17546</v>
      </c>
      <c r="C17" s="106">
        <f>'P&amp;L'!C16</f>
        <v>-20404</v>
      </c>
      <c r="D17" s="106">
        <f>'P&amp;L'!D16</f>
        <v>-19915</v>
      </c>
      <c r="E17" s="106">
        <f>'P&amp;L'!E16</f>
        <v>-21280</v>
      </c>
      <c r="F17" s="110">
        <f>'P&amp;L'!F16</f>
        <v>-79145</v>
      </c>
      <c r="G17" s="106">
        <f>'P&amp;L'!G16</f>
        <v>-24737</v>
      </c>
      <c r="H17" s="106">
        <f>'P&amp;L'!H16</f>
        <v>-28610</v>
      </c>
      <c r="I17" s="106">
        <f>'P&amp;L'!I16</f>
        <v>-32492</v>
      </c>
      <c r="J17" s="106">
        <f>'P&amp;L'!J16</f>
        <v>-31630</v>
      </c>
      <c r="K17" s="110">
        <f>'P&amp;L'!K16</f>
        <v>-117469</v>
      </c>
      <c r="L17" s="106">
        <f>'P&amp;L'!L16</f>
        <v>-31516</v>
      </c>
      <c r="M17" s="106">
        <f>'P&amp;L'!M16</f>
        <v>-32239</v>
      </c>
      <c r="N17" s="106">
        <f>'P&amp;L'!N16</f>
        <v>-32389</v>
      </c>
      <c r="O17" s="106">
        <f>'P&amp;L'!O16</f>
        <v>-30934</v>
      </c>
      <c r="P17" s="110">
        <f>'P&amp;L'!P16</f>
        <v>-127077</v>
      </c>
      <c r="Q17" s="106">
        <f>'P&amp;L'!Q16</f>
        <v>-34591</v>
      </c>
      <c r="R17" s="106">
        <f>'P&amp;L'!R16</f>
        <v>-35644</v>
      </c>
      <c r="S17" s="106">
        <f>'P&amp;L'!S16</f>
        <v>-32463</v>
      </c>
      <c r="T17" s="106">
        <f>'P&amp;L'!T16</f>
        <v>-32461</v>
      </c>
      <c r="U17" s="110">
        <f>'P&amp;L'!U16</f>
        <v>-135159</v>
      </c>
      <c r="V17" s="106">
        <f>'P&amp;L'!V16</f>
        <v>-33770</v>
      </c>
      <c r="W17" s="106">
        <f>'P&amp;L'!W16</f>
        <v>-35767</v>
      </c>
    </row>
    <row r="18" spans="1:23" s="2" customFormat="1" ht="15" customHeight="1" x14ac:dyDescent="0.35">
      <c r="A18" s="31" t="s">
        <v>95</v>
      </c>
      <c r="B18" s="65">
        <f>'Reconciliation Adj EBITDA'!B11</f>
        <v>1385</v>
      </c>
      <c r="C18" s="65">
        <f>'Reconciliation Adj EBITDA'!C11</f>
        <v>1260</v>
      </c>
      <c r="D18" s="65">
        <f>'Reconciliation Adj EBITDA'!D11</f>
        <v>1171</v>
      </c>
      <c r="E18" s="65">
        <f>'Reconciliation Adj EBITDA'!E11</f>
        <v>1975</v>
      </c>
      <c r="F18" s="76">
        <f>'Reconciliation Adj EBITDA'!F11</f>
        <v>5791</v>
      </c>
      <c r="G18" s="65">
        <f>'Reconciliation Adj EBITDA'!G11</f>
        <v>2578</v>
      </c>
      <c r="H18" s="65">
        <f>'Reconciliation Adj EBITDA'!H11</f>
        <v>3028</v>
      </c>
      <c r="I18" s="65">
        <f>'Reconciliation Adj EBITDA'!I11</f>
        <v>4155</v>
      </c>
      <c r="J18" s="65">
        <f>'Reconciliation Adj EBITDA'!J11</f>
        <v>4553</v>
      </c>
      <c r="K18" s="76">
        <f>'Reconciliation Adj EBITDA'!K11</f>
        <v>14313</v>
      </c>
      <c r="L18" s="65">
        <f>'Reconciliation Adj EBITDA'!L11</f>
        <v>4314</v>
      </c>
      <c r="M18" s="65">
        <f>'Reconciliation Adj EBITDA'!M11</f>
        <v>4056</v>
      </c>
      <c r="N18" s="65">
        <f>'Reconciliation Adj EBITDA'!N11</f>
        <v>5770</v>
      </c>
      <c r="O18" s="65">
        <f>'Reconciliation Adj EBITDA'!O11</f>
        <v>5732</v>
      </c>
      <c r="P18" s="76">
        <f>'Reconciliation Adj EBITDA'!P11</f>
        <v>19872</v>
      </c>
      <c r="Q18" s="65">
        <f>'Reconciliation Adj EBITDA'!Q11</f>
        <v>6916</v>
      </c>
      <c r="R18" s="65">
        <f>'Reconciliation Adj EBITDA'!R11</f>
        <v>4806</v>
      </c>
      <c r="S18" s="65">
        <f>'Reconciliation Adj EBITDA'!S11</f>
        <v>5408</v>
      </c>
      <c r="T18" s="65">
        <f>'Reconciliation Adj EBITDA'!T11</f>
        <v>-531</v>
      </c>
      <c r="U18" s="76">
        <f>'Reconciliation Adj EBITDA'!U11</f>
        <v>16600</v>
      </c>
      <c r="V18" s="65">
        <f>'Reconciliation Adj EBITDA'!V11</f>
        <v>3656</v>
      </c>
      <c r="W18" s="65">
        <f>'Reconciliation Adj EBITDA'!W11</f>
        <v>4495</v>
      </c>
    </row>
    <row r="19" spans="1:23" s="2" customFormat="1" ht="15" customHeight="1" x14ac:dyDescent="0.35">
      <c r="A19" s="31" t="s">
        <v>106</v>
      </c>
      <c r="B19" s="65">
        <f>'Reconciliation Adj EBITDA'!B20</f>
        <v>321</v>
      </c>
      <c r="C19" s="65">
        <f>'Reconciliation Adj EBITDA'!C20</f>
        <v>376</v>
      </c>
      <c r="D19" s="65">
        <f>'Reconciliation Adj EBITDA'!D20</f>
        <v>369</v>
      </c>
      <c r="E19" s="65">
        <f>'Reconciliation Adj EBITDA'!E20</f>
        <v>461</v>
      </c>
      <c r="F19" s="76">
        <f>'Reconciliation Adj EBITDA'!F20</f>
        <v>1526</v>
      </c>
      <c r="G19" s="65">
        <f>'Reconciliation Adj EBITDA'!G20</f>
        <v>518</v>
      </c>
      <c r="H19" s="65">
        <f>'Reconciliation Adj EBITDA'!H20</f>
        <v>604</v>
      </c>
      <c r="I19" s="65">
        <f>'Reconciliation Adj EBITDA'!I20</f>
        <v>912</v>
      </c>
      <c r="J19" s="65">
        <f>'Reconciliation Adj EBITDA'!J20</f>
        <v>1308</v>
      </c>
      <c r="K19" s="76">
        <f>'Reconciliation Adj EBITDA'!K20</f>
        <v>3342</v>
      </c>
      <c r="L19" s="65">
        <f>'Reconciliation Adj EBITDA'!L20</f>
        <v>1171</v>
      </c>
      <c r="M19" s="65">
        <f>'Reconciliation Adj EBITDA'!M20</f>
        <v>1286</v>
      </c>
      <c r="N19" s="65">
        <f>'Reconciliation Adj EBITDA'!N20</f>
        <v>1511</v>
      </c>
      <c r="O19" s="65">
        <f>'Reconciliation Adj EBITDA'!O20</f>
        <v>1770</v>
      </c>
      <c r="P19" s="76">
        <f>'Reconciliation Adj EBITDA'!P20</f>
        <v>5738</v>
      </c>
      <c r="Q19" s="65">
        <f>'Reconciliation Adj EBITDA'!Q20</f>
        <v>1722</v>
      </c>
      <c r="R19" s="65">
        <f>'Reconciliation Adj EBITDA'!R20</f>
        <v>1747</v>
      </c>
      <c r="S19" s="65">
        <f>'Reconciliation Adj EBITDA'!S20</f>
        <v>1882</v>
      </c>
      <c r="T19" s="65">
        <f>'Reconciliation Adj EBITDA'!T20</f>
        <v>1955</v>
      </c>
      <c r="U19" s="76">
        <f>'Reconciliation Adj EBITDA'!U20</f>
        <v>7306</v>
      </c>
      <c r="V19" s="65">
        <f>'Reconciliation Adj EBITDA'!V20</f>
        <v>1820</v>
      </c>
      <c r="W19" s="65">
        <f>'Reconciliation Adj EBITDA'!W20</f>
        <v>1825</v>
      </c>
    </row>
    <row r="20" spans="1:23" s="2" customFormat="1" ht="15" customHeight="1" x14ac:dyDescent="0.35">
      <c r="A20" s="31" t="s">
        <v>99</v>
      </c>
      <c r="B20" s="65">
        <f>'Reconciliation Adj EBITDA'!B15</f>
        <v>31</v>
      </c>
      <c r="C20" s="65">
        <f>'Reconciliation Adj EBITDA'!C15</f>
        <v>31</v>
      </c>
      <c r="D20" s="65">
        <f>'Reconciliation Adj EBITDA'!D15</f>
        <v>32</v>
      </c>
      <c r="E20" s="65">
        <f>'Reconciliation Adj EBITDA'!E15</f>
        <v>31</v>
      </c>
      <c r="F20" s="76">
        <f>'Reconciliation Adj EBITDA'!F15</f>
        <v>125</v>
      </c>
      <c r="G20" s="65">
        <f>'Reconciliation Adj EBITDA'!G15</f>
        <v>43</v>
      </c>
      <c r="H20" s="65">
        <f>'Reconciliation Adj EBITDA'!H15</f>
        <v>43</v>
      </c>
      <c r="I20" s="65">
        <f>'Reconciliation Adj EBITDA'!I15</f>
        <v>39</v>
      </c>
      <c r="J20" s="65">
        <f>'Reconciliation Adj EBITDA'!J15</f>
        <v>44</v>
      </c>
      <c r="K20" s="76">
        <f>'Reconciliation Adj EBITDA'!K15</f>
        <v>169</v>
      </c>
      <c r="L20" s="65">
        <f>'Reconciliation Adj EBITDA'!L15</f>
        <v>85</v>
      </c>
      <c r="M20" s="65">
        <f>'Reconciliation Adj EBITDA'!M15</f>
        <v>88</v>
      </c>
      <c r="N20" s="65">
        <f>'Reconciliation Adj EBITDA'!N15</f>
        <v>94</v>
      </c>
      <c r="O20" s="65">
        <f>'Reconciliation Adj EBITDA'!O15</f>
        <v>96</v>
      </c>
      <c r="P20" s="76">
        <f>'Reconciliation Adj EBITDA'!P15</f>
        <v>363</v>
      </c>
      <c r="Q20" s="65">
        <f>'Reconciliation Adj EBITDA'!Q15</f>
        <v>135</v>
      </c>
      <c r="R20" s="65">
        <f>'Reconciliation Adj EBITDA'!R15</f>
        <v>132</v>
      </c>
      <c r="S20" s="65">
        <f>'Reconciliation Adj EBITDA'!S15</f>
        <v>128</v>
      </c>
      <c r="T20" s="65">
        <f>'Reconciliation Adj EBITDA'!T15</f>
        <v>127</v>
      </c>
      <c r="U20" s="76">
        <f>'Reconciliation Adj EBITDA'!U15</f>
        <v>522</v>
      </c>
      <c r="V20" s="65">
        <f>'Reconciliation Adj EBITDA'!V15</f>
        <v>129</v>
      </c>
      <c r="W20" s="65">
        <f>'Reconciliation Adj EBITDA'!W15</f>
        <v>129</v>
      </c>
    </row>
    <row r="21" spans="1:23" s="2" customFormat="1" ht="15" customHeight="1" x14ac:dyDescent="0.35">
      <c r="A21" s="31" t="s">
        <v>112</v>
      </c>
      <c r="B21" s="65">
        <f>'Reconciliation Adj EBITDA'!B22</f>
        <v>0</v>
      </c>
      <c r="C21" s="65">
        <f>'Reconciliation Adj EBITDA'!C22</f>
        <v>0</v>
      </c>
      <c r="D21" s="65">
        <f>'Reconciliation Adj EBITDA'!D22</f>
        <v>0</v>
      </c>
      <c r="E21" s="65">
        <f>'Reconciliation Adj EBITDA'!E22</f>
        <v>0</v>
      </c>
      <c r="F21" s="76">
        <f>'Reconciliation Adj EBITDA'!F22</f>
        <v>0</v>
      </c>
      <c r="G21" s="65">
        <f>'Reconciliation Adj EBITDA'!G22</f>
        <v>0</v>
      </c>
      <c r="H21" s="65">
        <f>'Reconciliation Adj EBITDA'!H22</f>
        <v>148</v>
      </c>
      <c r="I21" s="65">
        <f>'Reconciliation Adj EBITDA'!I22</f>
        <v>1793</v>
      </c>
      <c r="J21" s="65">
        <f>'Reconciliation Adj EBITDA'!J22</f>
        <v>980</v>
      </c>
      <c r="K21" s="76">
        <f>'Reconciliation Adj EBITDA'!K22</f>
        <v>2921</v>
      </c>
      <c r="L21" s="65">
        <f>'Reconciliation Adj EBITDA'!L22</f>
        <v>6</v>
      </c>
      <c r="M21" s="65">
        <f>'Reconciliation Adj EBITDA'!M22</f>
        <v>0</v>
      </c>
      <c r="N21" s="65">
        <f>'Reconciliation Adj EBITDA'!N22</f>
        <v>0</v>
      </c>
      <c r="O21" s="65">
        <f>'Reconciliation Adj EBITDA'!O22</f>
        <v>0</v>
      </c>
      <c r="P21" s="76">
        <f>'Reconciliation Adj EBITDA'!P22</f>
        <v>6</v>
      </c>
      <c r="Q21" s="65">
        <f>'Reconciliation Adj EBITDA'!Q22</f>
        <v>0</v>
      </c>
      <c r="R21" s="65">
        <f>'Reconciliation Adj EBITDA'!R22</f>
        <v>0</v>
      </c>
      <c r="S21" s="65">
        <f>'Reconciliation Adj EBITDA'!S22</f>
        <v>516</v>
      </c>
      <c r="T21" s="65">
        <f>'Reconciliation Adj EBITDA'!T22</f>
        <v>1222</v>
      </c>
      <c r="U21" s="76">
        <f>'Reconciliation Adj EBITDA'!U22</f>
        <v>1738</v>
      </c>
      <c r="V21" s="65">
        <f>'Reconciliation Adj EBITDA'!V22</f>
        <v>0</v>
      </c>
      <c r="W21" s="65">
        <f>'Reconciliation Adj EBITDA'!W22</f>
        <v>0</v>
      </c>
    </row>
    <row r="22" spans="1:23" s="2" customFormat="1" ht="14" customHeight="1" x14ac:dyDescent="0.35">
      <c r="A22" s="31" t="s">
        <v>107</v>
      </c>
      <c r="B22" s="65">
        <f>'Reconciliation Adj EBITDA'!B30</f>
        <v>0</v>
      </c>
      <c r="C22" s="65">
        <f>'Reconciliation Adj EBITDA'!C30</f>
        <v>0</v>
      </c>
      <c r="D22" s="65">
        <f>'Reconciliation Adj EBITDA'!D30</f>
        <v>0</v>
      </c>
      <c r="E22" s="65">
        <f>'Reconciliation Adj EBITDA'!E30</f>
        <v>0</v>
      </c>
      <c r="F22" s="76">
        <f>'Reconciliation Adj EBITDA'!F30</f>
        <v>0</v>
      </c>
      <c r="G22" s="65">
        <f>'Reconciliation Adj EBITDA'!G30</f>
        <v>0</v>
      </c>
      <c r="H22" s="65">
        <f>'Reconciliation Adj EBITDA'!H30</f>
        <v>0</v>
      </c>
      <c r="I22" s="65">
        <f>'Reconciliation Adj EBITDA'!I30</f>
        <v>0</v>
      </c>
      <c r="J22" s="65">
        <f>'Reconciliation Adj EBITDA'!J30</f>
        <v>0</v>
      </c>
      <c r="K22" s="76">
        <f>'Reconciliation Adj EBITDA'!K30</f>
        <v>0</v>
      </c>
      <c r="L22" s="65">
        <f>'Reconciliation Adj EBITDA'!L30</f>
        <v>0</v>
      </c>
      <c r="M22" s="65">
        <f>'Reconciliation Adj EBITDA'!M30</f>
        <v>112</v>
      </c>
      <c r="N22" s="65">
        <f>'Reconciliation Adj EBITDA'!N30</f>
        <v>0</v>
      </c>
      <c r="O22" s="65">
        <f>'Reconciliation Adj EBITDA'!O30</f>
        <v>11</v>
      </c>
      <c r="P22" s="76">
        <f>'Reconciliation Adj EBITDA'!P30</f>
        <v>123</v>
      </c>
      <c r="Q22" s="65">
        <f>'Reconciliation Adj EBITDA'!Q30</f>
        <v>-11</v>
      </c>
      <c r="R22" s="65">
        <f>'Reconciliation Adj EBITDA'!R30</f>
        <v>0</v>
      </c>
      <c r="S22" s="65">
        <f>'Reconciliation Adj EBITDA'!S30</f>
        <v>0</v>
      </c>
      <c r="T22" s="65">
        <f>'Reconciliation Adj EBITDA'!T30</f>
        <v>0</v>
      </c>
      <c r="U22" s="76">
        <f>'Reconciliation Adj EBITDA'!U30</f>
        <v>-11</v>
      </c>
      <c r="V22" s="65">
        <f>'Reconciliation Adj EBITDA'!V30</f>
        <v>0</v>
      </c>
      <c r="W22" s="65">
        <f>'Reconciliation Adj EBITDA'!W30</f>
        <v>429</v>
      </c>
    </row>
    <row r="23" spans="1:23" s="2" customFormat="1" ht="15" customHeight="1" x14ac:dyDescent="0.35">
      <c r="A23" s="31" t="s">
        <v>102</v>
      </c>
      <c r="B23" s="65">
        <f>'Reconciliation Adj EBITDA'!B25</f>
        <v>0</v>
      </c>
      <c r="C23" s="65">
        <f>'Reconciliation Adj EBITDA'!C25</f>
        <v>0</v>
      </c>
      <c r="D23" s="65">
        <f>'Reconciliation Adj EBITDA'!D25</f>
        <v>0</v>
      </c>
      <c r="E23" s="65">
        <f>'Reconciliation Adj EBITDA'!E25</f>
        <v>-2218</v>
      </c>
      <c r="F23" s="76">
        <f>'Reconciliation Adj EBITDA'!F25</f>
        <v>-2218</v>
      </c>
      <c r="G23" s="65">
        <f>'Reconciliation Adj EBITDA'!G25</f>
        <v>0</v>
      </c>
      <c r="H23" s="65">
        <f>'Reconciliation Adj EBITDA'!H25</f>
        <v>0</v>
      </c>
      <c r="I23" s="65">
        <f>'Reconciliation Adj EBITDA'!I25</f>
        <v>0</v>
      </c>
      <c r="J23" s="65">
        <f>'Reconciliation Adj EBITDA'!J25</f>
        <v>0</v>
      </c>
      <c r="K23" s="76">
        <f>'Reconciliation Adj EBITDA'!K25</f>
        <v>0</v>
      </c>
      <c r="L23" s="65">
        <f>'Reconciliation Adj EBITDA'!L25</f>
        <v>0</v>
      </c>
      <c r="M23" s="65">
        <f>'Reconciliation Adj EBITDA'!M25</f>
        <v>0</v>
      </c>
      <c r="N23" s="65">
        <f>'Reconciliation Adj EBITDA'!N25</f>
        <v>0</v>
      </c>
      <c r="O23" s="65">
        <f>'Reconciliation Adj EBITDA'!O25</f>
        <v>0</v>
      </c>
      <c r="P23" s="76">
        <f>'Reconciliation Adj EBITDA'!P25</f>
        <v>0</v>
      </c>
      <c r="Q23" s="65">
        <f>'Reconciliation Adj EBITDA'!Q25</f>
        <v>0</v>
      </c>
      <c r="R23" s="65">
        <f>'Reconciliation Adj EBITDA'!R25</f>
        <v>0</v>
      </c>
      <c r="S23" s="65">
        <f>'Reconciliation Adj EBITDA'!S25</f>
        <v>0</v>
      </c>
      <c r="T23" s="65">
        <f>'Reconciliation Adj EBITDA'!T25</f>
        <v>0</v>
      </c>
      <c r="U23" s="76">
        <f>'Reconciliation Adj EBITDA'!U25</f>
        <v>0</v>
      </c>
      <c r="V23" s="65">
        <f>'Reconciliation Adj EBITDA'!V25</f>
        <v>0</v>
      </c>
      <c r="W23" s="65">
        <f>'Reconciliation Adj EBITDA'!W25</f>
        <v>0</v>
      </c>
    </row>
    <row r="24" spans="1:23" s="2" customFormat="1" ht="15" customHeight="1" x14ac:dyDescent="0.4">
      <c r="A24" s="1" t="s">
        <v>113</v>
      </c>
      <c r="B24" s="105">
        <f>SUM(B17:B23)</f>
        <v>-15809</v>
      </c>
      <c r="C24" s="105">
        <f t="shared" ref="C24:Q24" si="19">SUM(C17:C23)</f>
        <v>-18737</v>
      </c>
      <c r="D24" s="105">
        <f t="shared" si="19"/>
        <v>-18343</v>
      </c>
      <c r="E24" s="105">
        <f t="shared" si="19"/>
        <v>-21031</v>
      </c>
      <c r="F24" s="111">
        <f t="shared" si="19"/>
        <v>-73921</v>
      </c>
      <c r="G24" s="105">
        <f t="shared" si="19"/>
        <v>-21598</v>
      </c>
      <c r="H24" s="105">
        <f t="shared" si="19"/>
        <v>-24787</v>
      </c>
      <c r="I24" s="105">
        <f t="shared" si="19"/>
        <v>-25593</v>
      </c>
      <c r="J24" s="105">
        <f t="shared" si="19"/>
        <v>-24745</v>
      </c>
      <c r="K24" s="111">
        <f t="shared" si="19"/>
        <v>-96724</v>
      </c>
      <c r="L24" s="105">
        <f t="shared" si="19"/>
        <v>-25940</v>
      </c>
      <c r="M24" s="105">
        <f t="shared" si="19"/>
        <v>-26697</v>
      </c>
      <c r="N24" s="105">
        <f t="shared" si="19"/>
        <v>-25014</v>
      </c>
      <c r="O24" s="105">
        <f t="shared" si="19"/>
        <v>-23325</v>
      </c>
      <c r="P24" s="111">
        <f t="shared" si="19"/>
        <v>-100975</v>
      </c>
      <c r="Q24" s="105">
        <f t="shared" si="19"/>
        <v>-25829</v>
      </c>
      <c r="R24" s="105">
        <f t="shared" ref="R24:V24" si="20">SUM(R17:R23)</f>
        <v>-28959</v>
      </c>
      <c r="S24" s="105">
        <f t="shared" si="20"/>
        <v>-24529</v>
      </c>
      <c r="T24" s="105">
        <f t="shared" si="20"/>
        <v>-29688</v>
      </c>
      <c r="U24" s="111">
        <f t="shared" si="20"/>
        <v>-109004</v>
      </c>
      <c r="V24" s="105">
        <f t="shared" si="20"/>
        <v>-28165</v>
      </c>
      <c r="W24" s="105">
        <f t="shared" ref="W24" si="21">SUM(W17:W23)</f>
        <v>-28889</v>
      </c>
    </row>
    <row r="25" spans="1:23" s="2" customFormat="1" ht="15" customHeight="1" x14ac:dyDescent="0.4">
      <c r="A25" s="1" t="s">
        <v>51</v>
      </c>
      <c r="B25" s="104">
        <f>B4+B11+B17</f>
        <v>-88475</v>
      </c>
      <c r="C25" s="104">
        <f>C4+C11+C17</f>
        <v>-99984</v>
      </c>
      <c r="D25" s="104">
        <f t="shared" ref="D25:P25" si="22">D4+D11+D17</f>
        <v>-98667</v>
      </c>
      <c r="E25" s="104">
        <f t="shared" si="22"/>
        <v>-108355</v>
      </c>
      <c r="F25" s="109">
        <f t="shared" si="22"/>
        <v>-395482</v>
      </c>
      <c r="G25" s="104">
        <f>G4+G11+G17</f>
        <v>-116372</v>
      </c>
      <c r="H25" s="104">
        <f t="shared" si="22"/>
        <v>-128070</v>
      </c>
      <c r="I25" s="104">
        <f t="shared" si="22"/>
        <v>-131357</v>
      </c>
      <c r="J25" s="104">
        <f t="shared" si="22"/>
        <v>-148173</v>
      </c>
      <c r="K25" s="109">
        <f t="shared" si="22"/>
        <v>-523971</v>
      </c>
      <c r="L25" s="104">
        <f t="shared" si="22"/>
        <v>-161767</v>
      </c>
      <c r="M25" s="104">
        <f t="shared" si="22"/>
        <v>-173750</v>
      </c>
      <c r="N25" s="104">
        <f t="shared" si="22"/>
        <v>-171433</v>
      </c>
      <c r="O25" s="104">
        <f t="shared" si="22"/>
        <v>-174701</v>
      </c>
      <c r="P25" s="109">
        <f t="shared" si="22"/>
        <v>-681651</v>
      </c>
      <c r="Q25" s="104">
        <f>Q4+Q11+Q17</f>
        <v>-175558</v>
      </c>
      <c r="R25" s="104">
        <f>R4+R11+R17</f>
        <v>-175914</v>
      </c>
      <c r="S25" s="104">
        <f>S4+S11+S17</f>
        <v>-164785</v>
      </c>
      <c r="T25" s="104">
        <f t="shared" ref="T25:U25" si="23">T4+T11+T17</f>
        <v>-170872</v>
      </c>
      <c r="U25" s="109">
        <f t="shared" si="23"/>
        <v>-687129</v>
      </c>
      <c r="V25" s="104">
        <f>V4+V11+V17</f>
        <v>-176256</v>
      </c>
      <c r="W25" s="104">
        <f>W4+W11+W17</f>
        <v>-175285</v>
      </c>
    </row>
    <row r="26" spans="1:23" s="2" customFormat="1" ht="15" customHeight="1" x14ac:dyDescent="0.35">
      <c r="A26" s="31" t="s">
        <v>95</v>
      </c>
      <c r="B26" s="107">
        <f>SUM(B5,B12,B18)</f>
        <v>6317</v>
      </c>
      <c r="C26" s="107">
        <f t="shared" ref="C26:P26" si="24">SUM(C5,C12,C18)</f>
        <v>5325</v>
      </c>
      <c r="D26" s="107">
        <f t="shared" si="24"/>
        <v>4600</v>
      </c>
      <c r="E26" s="107">
        <f t="shared" si="24"/>
        <v>7748</v>
      </c>
      <c r="F26" s="112">
        <f t="shared" si="24"/>
        <v>23989</v>
      </c>
      <c r="G26" s="107">
        <f>SUM(G5,G12,G18)</f>
        <v>8370</v>
      </c>
      <c r="H26" s="107">
        <f t="shared" si="24"/>
        <v>7695</v>
      </c>
      <c r="I26" s="107">
        <f t="shared" si="24"/>
        <v>13965</v>
      </c>
      <c r="J26" s="107">
        <f t="shared" si="24"/>
        <v>13229</v>
      </c>
      <c r="K26" s="112">
        <f t="shared" si="24"/>
        <v>43259</v>
      </c>
      <c r="L26" s="107">
        <f t="shared" si="24"/>
        <v>14940</v>
      </c>
      <c r="M26" s="107">
        <f t="shared" si="24"/>
        <v>14918</v>
      </c>
      <c r="N26" s="107">
        <f t="shared" si="24"/>
        <v>22028</v>
      </c>
      <c r="O26" s="107">
        <f t="shared" si="24"/>
        <v>20464</v>
      </c>
      <c r="P26" s="112">
        <f t="shared" si="24"/>
        <v>72351</v>
      </c>
      <c r="Q26" s="107">
        <f t="shared" ref="Q26:U28" si="25">SUM(Q5,Q12,Q18)</f>
        <v>19303</v>
      </c>
      <c r="R26" s="107">
        <f t="shared" si="25"/>
        <v>20245</v>
      </c>
      <c r="S26" s="107">
        <f t="shared" si="25"/>
        <v>17261</v>
      </c>
      <c r="T26" s="107">
        <f t="shared" si="25"/>
        <v>10267</v>
      </c>
      <c r="U26" s="112">
        <f t="shared" si="25"/>
        <v>67076</v>
      </c>
      <c r="V26" s="107">
        <f t="shared" ref="V26:W26" si="26">SUM(V5,V12,V18)</f>
        <v>13882</v>
      </c>
      <c r="W26" s="107">
        <f t="shared" si="26"/>
        <v>14391</v>
      </c>
    </row>
    <row r="27" spans="1:23" s="2" customFormat="1" ht="15" customHeight="1" x14ac:dyDescent="0.35">
      <c r="A27" s="31" t="s">
        <v>106</v>
      </c>
      <c r="B27" s="65">
        <f>SUM(B6,B13,B19)</f>
        <v>2457</v>
      </c>
      <c r="C27" s="65">
        <f t="shared" ref="C27:P27" si="27">SUM(C6,C13,C19)</f>
        <v>3465</v>
      </c>
      <c r="D27" s="65">
        <f t="shared" si="27"/>
        <v>3389</v>
      </c>
      <c r="E27" s="65">
        <f t="shared" si="27"/>
        <v>5388</v>
      </c>
      <c r="F27" s="76">
        <f t="shared" si="27"/>
        <v>14699</v>
      </c>
      <c r="G27" s="65">
        <f>SUM(G6,G13,G19)</f>
        <v>4296</v>
      </c>
      <c r="H27" s="65">
        <f t="shared" si="27"/>
        <v>4080</v>
      </c>
      <c r="I27" s="65">
        <f t="shared" si="27"/>
        <v>4365</v>
      </c>
      <c r="J27" s="65">
        <f t="shared" si="27"/>
        <v>5567</v>
      </c>
      <c r="K27" s="76">
        <f t="shared" si="27"/>
        <v>18310</v>
      </c>
      <c r="L27" s="65">
        <f t="shared" si="27"/>
        <v>9076</v>
      </c>
      <c r="M27" s="65">
        <f t="shared" si="27"/>
        <v>9303</v>
      </c>
      <c r="N27" s="65">
        <f t="shared" si="27"/>
        <v>9435</v>
      </c>
      <c r="O27" s="65">
        <f t="shared" si="27"/>
        <v>8995</v>
      </c>
      <c r="P27" s="76">
        <f t="shared" si="27"/>
        <v>36808</v>
      </c>
      <c r="Q27" s="65">
        <f t="shared" si="25"/>
        <v>8397</v>
      </c>
      <c r="R27" s="65">
        <f t="shared" si="25"/>
        <v>8510</v>
      </c>
      <c r="S27" s="65">
        <f t="shared" si="25"/>
        <v>9048</v>
      </c>
      <c r="T27" s="65">
        <f t="shared" si="25"/>
        <v>10198</v>
      </c>
      <c r="U27" s="76">
        <f t="shared" si="25"/>
        <v>36153</v>
      </c>
      <c r="V27" s="65">
        <f t="shared" ref="V27:W27" si="28">SUM(V6,V13,V19)</f>
        <v>10161</v>
      </c>
      <c r="W27" s="65">
        <f t="shared" si="28"/>
        <v>10468</v>
      </c>
    </row>
    <row r="28" spans="1:23" s="2" customFormat="1" ht="15" customHeight="1" x14ac:dyDescent="0.35">
      <c r="A28" s="31" t="s">
        <v>99</v>
      </c>
      <c r="B28" s="65">
        <f>SUM(B7,B14,B20)</f>
        <v>112</v>
      </c>
      <c r="C28" s="65">
        <f t="shared" ref="C28:P28" si="29">SUM(C7,C14,C20)</f>
        <v>110</v>
      </c>
      <c r="D28" s="65">
        <f t="shared" si="29"/>
        <v>110</v>
      </c>
      <c r="E28" s="65">
        <f t="shared" si="29"/>
        <v>109</v>
      </c>
      <c r="F28" s="76">
        <f t="shared" si="29"/>
        <v>441</v>
      </c>
      <c r="G28" s="65">
        <f>SUM(G7,G14,G20)</f>
        <v>129</v>
      </c>
      <c r="H28" s="65">
        <f t="shared" si="29"/>
        <v>131</v>
      </c>
      <c r="I28" s="65">
        <f t="shared" si="29"/>
        <v>132</v>
      </c>
      <c r="J28" s="65">
        <f t="shared" si="29"/>
        <v>133</v>
      </c>
      <c r="K28" s="76">
        <f t="shared" si="29"/>
        <v>524</v>
      </c>
      <c r="L28" s="65">
        <f t="shared" si="29"/>
        <v>290</v>
      </c>
      <c r="M28" s="65">
        <f t="shared" si="29"/>
        <v>299</v>
      </c>
      <c r="N28" s="65">
        <f t="shared" si="29"/>
        <v>320</v>
      </c>
      <c r="O28" s="65">
        <f t="shared" si="29"/>
        <v>321</v>
      </c>
      <c r="P28" s="76">
        <f t="shared" si="29"/>
        <v>1231</v>
      </c>
      <c r="Q28" s="65">
        <f t="shared" si="25"/>
        <v>434</v>
      </c>
      <c r="R28" s="65">
        <f t="shared" si="25"/>
        <v>419</v>
      </c>
      <c r="S28" s="65">
        <f t="shared" si="25"/>
        <v>419</v>
      </c>
      <c r="T28" s="65">
        <f t="shared" si="25"/>
        <v>419</v>
      </c>
      <c r="U28" s="76">
        <f t="shared" si="25"/>
        <v>1691</v>
      </c>
      <c r="V28" s="65">
        <f t="shared" ref="V28:W28" si="30">SUM(V7,V14,V20)</f>
        <v>394</v>
      </c>
      <c r="W28" s="65">
        <f t="shared" si="30"/>
        <v>391</v>
      </c>
    </row>
    <row r="29" spans="1:23" s="2" customFormat="1" ht="15" customHeight="1" x14ac:dyDescent="0.35">
      <c r="A29" s="31" t="s">
        <v>101</v>
      </c>
      <c r="B29" s="65">
        <f t="shared" ref="B29:P29" si="31">SUM(B21)</f>
        <v>0</v>
      </c>
      <c r="C29" s="65">
        <f t="shared" si="31"/>
        <v>0</v>
      </c>
      <c r="D29" s="65">
        <f t="shared" si="31"/>
        <v>0</v>
      </c>
      <c r="E29" s="65">
        <f t="shared" si="31"/>
        <v>0</v>
      </c>
      <c r="F29" s="76">
        <f t="shared" si="31"/>
        <v>0</v>
      </c>
      <c r="G29" s="65">
        <f>SUM(G21)</f>
        <v>0</v>
      </c>
      <c r="H29" s="65">
        <f t="shared" si="31"/>
        <v>148</v>
      </c>
      <c r="I29" s="65">
        <f t="shared" si="31"/>
        <v>1793</v>
      </c>
      <c r="J29" s="65">
        <f t="shared" si="31"/>
        <v>980</v>
      </c>
      <c r="K29" s="76">
        <f t="shared" si="31"/>
        <v>2921</v>
      </c>
      <c r="L29" s="65">
        <f t="shared" si="31"/>
        <v>6</v>
      </c>
      <c r="M29" s="65">
        <f t="shared" si="31"/>
        <v>0</v>
      </c>
      <c r="N29" s="65">
        <f t="shared" si="31"/>
        <v>0</v>
      </c>
      <c r="O29" s="65">
        <f t="shared" si="31"/>
        <v>0</v>
      </c>
      <c r="P29" s="76">
        <f t="shared" si="31"/>
        <v>6</v>
      </c>
      <c r="Q29" s="65">
        <f>SUM(Q21)</f>
        <v>0</v>
      </c>
      <c r="R29" s="65">
        <f>SUM(R21)</f>
        <v>0</v>
      </c>
      <c r="S29" s="65">
        <f>SUM(S21)</f>
        <v>516</v>
      </c>
      <c r="T29" s="65">
        <f t="shared" ref="T29:U29" si="32">SUM(T21)</f>
        <v>1222</v>
      </c>
      <c r="U29" s="76">
        <f t="shared" si="32"/>
        <v>1738</v>
      </c>
      <c r="V29" s="65">
        <f>SUM(V21)</f>
        <v>0</v>
      </c>
      <c r="W29" s="65">
        <f>SUM(W21)</f>
        <v>0</v>
      </c>
    </row>
    <row r="30" spans="1:23" s="2" customFormat="1" ht="15" customHeight="1" x14ac:dyDescent="0.35">
      <c r="A30" s="31" t="s">
        <v>102</v>
      </c>
      <c r="B30" s="65">
        <f t="shared" ref="B30:P30" si="33">SUM(B9,B23)</f>
        <v>109</v>
      </c>
      <c r="C30" s="65">
        <f t="shared" si="33"/>
        <v>115</v>
      </c>
      <c r="D30" s="65">
        <f t="shared" si="33"/>
        <v>54</v>
      </c>
      <c r="E30" s="65">
        <f t="shared" si="33"/>
        <v>-2172</v>
      </c>
      <c r="F30" s="76">
        <f t="shared" si="33"/>
        <v>-1894</v>
      </c>
      <c r="G30" s="65">
        <f>SUM(G9,G23)</f>
        <v>40</v>
      </c>
      <c r="H30" s="65">
        <f t="shared" si="33"/>
        <v>44</v>
      </c>
      <c r="I30" s="65">
        <f t="shared" si="33"/>
        <v>3</v>
      </c>
      <c r="J30" s="65">
        <f t="shared" si="33"/>
        <v>-3</v>
      </c>
      <c r="K30" s="76">
        <f t="shared" si="33"/>
        <v>85</v>
      </c>
      <c r="L30" s="65">
        <f t="shared" si="33"/>
        <v>0</v>
      </c>
      <c r="M30" s="65">
        <f t="shared" si="33"/>
        <v>0</v>
      </c>
      <c r="N30" s="65">
        <f t="shared" si="33"/>
        <v>0</v>
      </c>
      <c r="O30" s="65">
        <f t="shared" si="33"/>
        <v>0</v>
      </c>
      <c r="P30" s="76">
        <f t="shared" si="33"/>
        <v>0</v>
      </c>
      <c r="Q30" s="65">
        <f>SUM(Q9,Q23)</f>
        <v>0</v>
      </c>
      <c r="R30" s="65">
        <f>SUM(R9,R23)</f>
        <v>0</v>
      </c>
      <c r="S30" s="65">
        <f>SUM(S9,S23)</f>
        <v>0</v>
      </c>
      <c r="T30" s="65">
        <f t="shared" ref="T30:U30" si="34">SUM(T9,T23)</f>
        <v>0</v>
      </c>
      <c r="U30" s="76">
        <f t="shared" si="34"/>
        <v>0</v>
      </c>
      <c r="V30" s="65">
        <f>SUM(V9,V23)</f>
        <v>0</v>
      </c>
      <c r="W30" s="65">
        <f>SUM(W9,W23)</f>
        <v>0</v>
      </c>
    </row>
    <row r="31" spans="1:23" s="2" customFormat="1" ht="15" customHeight="1" x14ac:dyDescent="0.35">
      <c r="A31" s="31" t="s">
        <v>107</v>
      </c>
      <c r="B31" s="65">
        <f t="shared" ref="B31:P31" si="35">SUM(B15,B22,B8)</f>
        <v>0</v>
      </c>
      <c r="C31" s="65">
        <f t="shared" si="35"/>
        <v>0</v>
      </c>
      <c r="D31" s="65">
        <f t="shared" si="35"/>
        <v>0</v>
      </c>
      <c r="E31" s="65">
        <f t="shared" si="35"/>
        <v>0</v>
      </c>
      <c r="F31" s="76">
        <f t="shared" si="35"/>
        <v>0</v>
      </c>
      <c r="G31" s="65">
        <f t="shared" si="35"/>
        <v>0</v>
      </c>
      <c r="H31" s="65">
        <f t="shared" si="35"/>
        <v>0</v>
      </c>
      <c r="I31" s="65">
        <f t="shared" si="35"/>
        <v>0</v>
      </c>
      <c r="J31" s="65">
        <f t="shared" si="35"/>
        <v>0</v>
      </c>
      <c r="K31" s="76">
        <f t="shared" si="35"/>
        <v>0</v>
      </c>
      <c r="L31" s="65">
        <f t="shared" si="35"/>
        <v>0</v>
      </c>
      <c r="M31" s="65">
        <f t="shared" si="35"/>
        <v>802</v>
      </c>
      <c r="N31" s="65">
        <f t="shared" si="35"/>
        <v>0</v>
      </c>
      <c r="O31" s="65">
        <f t="shared" si="35"/>
        <v>4057</v>
      </c>
      <c r="P31" s="76">
        <f t="shared" si="35"/>
        <v>4859</v>
      </c>
      <c r="Q31" s="65">
        <f>SUM(Q15,Q22,Q8)</f>
        <v>-252</v>
      </c>
      <c r="R31" s="65">
        <f>SUM(R15,R22,R8)</f>
        <v>199</v>
      </c>
      <c r="S31" s="65">
        <f>SUM(S15,S22,S8)</f>
        <v>0</v>
      </c>
      <c r="T31" s="65">
        <f t="shared" ref="T31:U31" si="36">SUM(T15,T22,T8)</f>
        <v>0</v>
      </c>
      <c r="U31" s="76">
        <f t="shared" si="36"/>
        <v>-53</v>
      </c>
      <c r="V31" s="65">
        <f>SUM(V15,V22,V8)</f>
        <v>1890</v>
      </c>
      <c r="W31" s="65">
        <f>SUM(W15,W22,W8)</f>
        <v>728</v>
      </c>
    </row>
    <row r="32" spans="1:23" s="2" customFormat="1" ht="15" customHeight="1" x14ac:dyDescent="0.4">
      <c r="A32" s="1" t="s">
        <v>188</v>
      </c>
      <c r="B32" s="86">
        <f t="shared" ref="B32:P32" si="37">SUM(B25:B31)</f>
        <v>-79480</v>
      </c>
      <c r="C32" s="86">
        <f t="shared" si="37"/>
        <v>-90969</v>
      </c>
      <c r="D32" s="86">
        <f t="shared" si="37"/>
        <v>-90514</v>
      </c>
      <c r="E32" s="86">
        <f t="shared" si="37"/>
        <v>-97282</v>
      </c>
      <c r="F32" s="21">
        <f t="shared" si="37"/>
        <v>-358247</v>
      </c>
      <c r="G32" s="86">
        <f t="shared" si="37"/>
        <v>-103537</v>
      </c>
      <c r="H32" s="86">
        <f t="shared" si="37"/>
        <v>-115972</v>
      </c>
      <c r="I32" s="86">
        <f t="shared" si="37"/>
        <v>-111099</v>
      </c>
      <c r="J32" s="86">
        <f t="shared" si="37"/>
        <v>-128267</v>
      </c>
      <c r="K32" s="21">
        <f t="shared" si="37"/>
        <v>-458872</v>
      </c>
      <c r="L32" s="86">
        <f t="shared" si="37"/>
        <v>-137455</v>
      </c>
      <c r="M32" s="86">
        <f t="shared" si="37"/>
        <v>-148428</v>
      </c>
      <c r="N32" s="86">
        <f t="shared" si="37"/>
        <v>-139650</v>
      </c>
      <c r="O32" s="86">
        <f t="shared" si="37"/>
        <v>-140864</v>
      </c>
      <c r="P32" s="21">
        <f t="shared" si="37"/>
        <v>-566396</v>
      </c>
      <c r="Q32" s="86">
        <f>SUM(Q25:Q31)</f>
        <v>-147676</v>
      </c>
      <c r="R32" s="86">
        <f>SUM(R25:R31)</f>
        <v>-146541</v>
      </c>
      <c r="S32" s="86">
        <f>SUM(S25:S31)</f>
        <v>-137541</v>
      </c>
      <c r="T32" s="86">
        <f t="shared" ref="T32:U32" si="38">SUM(T25:T31)</f>
        <v>-148766</v>
      </c>
      <c r="U32" s="21">
        <f t="shared" si="38"/>
        <v>-580524</v>
      </c>
      <c r="V32" s="86">
        <f>SUM(V25:V31)</f>
        <v>-149929</v>
      </c>
      <c r="W32" s="86">
        <f>SUM(W25:W31)</f>
        <v>-149307</v>
      </c>
    </row>
    <row r="33" spans="1:23" s="2" customFormat="1" ht="15" customHeight="1" x14ac:dyDescent="0.35">
      <c r="F33" s="22"/>
      <c r="K33" s="22"/>
      <c r="P33" s="22"/>
      <c r="R33" s="56"/>
      <c r="S33" s="56"/>
      <c r="T33" s="56"/>
      <c r="U33" s="22"/>
      <c r="V33" s="56"/>
      <c r="W33" s="56"/>
    </row>
    <row r="34" spans="1:23" ht="77.650000000000006" customHeight="1" x14ac:dyDescent="0.35">
      <c r="A34" s="173" t="s">
        <v>189</v>
      </c>
      <c r="B34" s="173"/>
      <c r="C34" s="173"/>
      <c r="D34" s="173"/>
      <c r="E34" s="173"/>
      <c r="F34" s="173"/>
      <c r="G34" s="173"/>
      <c r="H34" s="173"/>
      <c r="I34" s="173"/>
      <c r="J34" s="173"/>
      <c r="K34" s="173"/>
      <c r="L34" s="173"/>
      <c r="M34" s="173"/>
      <c r="N34" s="173"/>
      <c r="O34" s="173"/>
      <c r="P34" s="173"/>
      <c r="Q34" s="173"/>
      <c r="R34" s="173"/>
      <c r="S34" s="173"/>
      <c r="T34" s="173"/>
      <c r="U34" s="173"/>
      <c r="V34" s="173"/>
      <c r="W34" s="173"/>
    </row>
    <row r="35" spans="1:23" ht="15" customHeight="1" x14ac:dyDescent="0.35"/>
    <row r="36" spans="1:23" ht="15" customHeight="1" x14ac:dyDescent="0.35"/>
    <row r="37" spans="1:23" ht="15" customHeight="1" x14ac:dyDescent="0.35"/>
    <row r="38" spans="1:23" ht="15" customHeight="1" x14ac:dyDescent="0.35"/>
    <row r="39" spans="1:23" ht="15" customHeight="1" x14ac:dyDescent="0.35"/>
    <row r="40" spans="1:23" ht="15" customHeight="1" x14ac:dyDescent="0.35"/>
    <row r="41" spans="1:23" ht="15" customHeight="1" x14ac:dyDescent="0.35"/>
    <row r="42" spans="1:23" ht="15" customHeight="1" x14ac:dyDescent="0.35"/>
    <row r="43" spans="1:23" ht="15" customHeight="1" x14ac:dyDescent="0.35"/>
    <row r="44" spans="1:23" ht="15" customHeight="1" x14ac:dyDescent="0.35"/>
    <row r="45" spans="1:23" ht="15" customHeight="1" x14ac:dyDescent="0.35"/>
    <row r="46" spans="1:23" ht="15" customHeight="1" x14ac:dyDescent="0.35"/>
    <row r="47" spans="1:23" ht="15" customHeight="1" x14ac:dyDescent="0.35"/>
    <row r="48" spans="1:23"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sheetData>
  <mergeCells count="1">
    <mergeCell ref="A34:W34"/>
  </mergeCells>
  <pageMargins left="0.7" right="0.7" top="0.75" bottom="0.75" header="0.3" footer="0.3"/>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92"/>
  <sheetViews>
    <sheetView showGridLines="0" zoomScale="70" zoomScaleNormal="70" workbookViewId="0"/>
  </sheetViews>
  <sheetFormatPr defaultColWidth="12.640625" defaultRowHeight="12.75" x14ac:dyDescent="0.35"/>
  <cols>
    <col min="1" max="1" width="58.640625" style="15" customWidth="1"/>
    <col min="2" max="16384" width="12.640625" style="15"/>
  </cols>
  <sheetData>
    <row r="1" spans="1:23" ht="13.15" x14ac:dyDescent="0.4">
      <c r="A1" s="14" t="s">
        <v>176</v>
      </c>
    </row>
    <row r="2" spans="1:23" x14ac:dyDescent="0.35">
      <c r="A2" s="16" t="s">
        <v>169</v>
      </c>
    </row>
    <row r="3" spans="1:23" s="2" customFormat="1" ht="14" customHeight="1" x14ac:dyDescent="0.4">
      <c r="B3" s="29" t="s">
        <v>159</v>
      </c>
      <c r="C3" s="29" t="s">
        <v>162</v>
      </c>
      <c r="D3" s="29" t="s">
        <v>161</v>
      </c>
      <c r="E3" s="29" t="s">
        <v>160</v>
      </c>
      <c r="F3" s="30" t="s">
        <v>158</v>
      </c>
      <c r="G3" s="29" t="s">
        <v>157</v>
      </c>
      <c r="H3" s="29" t="s">
        <v>156</v>
      </c>
      <c r="I3" s="29" t="s">
        <v>155</v>
      </c>
      <c r="J3" s="29" t="s">
        <v>151</v>
      </c>
      <c r="K3" s="30" t="s">
        <v>150</v>
      </c>
      <c r="L3" s="29" t="s">
        <v>147</v>
      </c>
      <c r="M3" s="29" t="s">
        <v>153</v>
      </c>
      <c r="N3" s="29" t="s">
        <v>154</v>
      </c>
      <c r="O3" s="29" t="s">
        <v>152</v>
      </c>
      <c r="P3" s="30" t="s">
        <v>149</v>
      </c>
      <c r="Q3" s="29" t="s">
        <v>146</v>
      </c>
      <c r="R3" s="29" t="s">
        <v>213</v>
      </c>
      <c r="S3" s="29" t="s">
        <v>216</v>
      </c>
      <c r="T3" s="29" t="s">
        <v>220</v>
      </c>
      <c r="U3" s="30" t="s">
        <v>221</v>
      </c>
      <c r="V3" s="29" t="s">
        <v>227</v>
      </c>
      <c r="W3" s="29" t="s">
        <v>235</v>
      </c>
    </row>
    <row r="4" spans="1:23" s="2" customFormat="1" ht="14" customHeight="1" x14ac:dyDescent="0.4">
      <c r="A4" s="33" t="s">
        <v>95</v>
      </c>
      <c r="B4" s="34"/>
      <c r="C4" s="34"/>
      <c r="D4" s="34"/>
      <c r="E4" s="34"/>
      <c r="F4" s="35"/>
      <c r="G4" s="34"/>
      <c r="H4" s="34"/>
      <c r="I4" s="34"/>
      <c r="J4" s="34"/>
      <c r="K4" s="35"/>
      <c r="L4" s="34"/>
      <c r="M4" s="36"/>
      <c r="N4" s="36"/>
      <c r="O4" s="36"/>
      <c r="P4" s="37"/>
      <c r="R4" s="56"/>
      <c r="S4" s="36"/>
      <c r="T4" s="36"/>
      <c r="U4" s="37"/>
      <c r="V4" s="56"/>
      <c r="W4" s="56"/>
    </row>
    <row r="5" spans="1:23" s="2" customFormat="1" ht="15" customHeight="1" x14ac:dyDescent="0.35">
      <c r="A5" s="38" t="s">
        <v>96</v>
      </c>
      <c r="B5" s="63">
        <f>'Reconciliation Adj EBITDA'!B9</f>
        <v>1478</v>
      </c>
      <c r="C5" s="63">
        <f>'Reconciliation Adj EBITDA'!C9</f>
        <v>1162</v>
      </c>
      <c r="D5" s="63">
        <f>'Reconciliation Adj EBITDA'!D9</f>
        <v>1714</v>
      </c>
      <c r="E5" s="63">
        <f>'Reconciliation Adj EBITDA'!E9</f>
        <v>2167</v>
      </c>
      <c r="F5" s="74">
        <f>'Reconciliation Adj EBITDA'!F9</f>
        <v>6520</v>
      </c>
      <c r="G5" s="63">
        <f>'Reconciliation Adj EBITDA'!G9</f>
        <v>2402</v>
      </c>
      <c r="H5" s="63">
        <f>'Reconciliation Adj EBITDA'!H9</f>
        <v>2179</v>
      </c>
      <c r="I5" s="63">
        <f>'Reconciliation Adj EBITDA'!I9</f>
        <v>4667</v>
      </c>
      <c r="J5" s="63">
        <f>'Reconciliation Adj EBITDA'!J9</f>
        <v>2860</v>
      </c>
      <c r="K5" s="74">
        <f>'Reconciliation Adj EBITDA'!K9</f>
        <v>12108</v>
      </c>
      <c r="L5" s="63">
        <f>'Reconciliation Adj EBITDA'!L9</f>
        <v>3916</v>
      </c>
      <c r="M5" s="63">
        <f>'Reconciliation Adj EBITDA'!M9</f>
        <v>4461</v>
      </c>
      <c r="N5" s="63">
        <f>'Reconciliation Adj EBITDA'!N9</f>
        <v>6361</v>
      </c>
      <c r="O5" s="63">
        <f>'Reconciliation Adj EBITDA'!O9</f>
        <v>6355</v>
      </c>
      <c r="P5" s="74">
        <f>'Reconciliation Adj EBITDA'!P9</f>
        <v>21093</v>
      </c>
      <c r="Q5" s="63">
        <f>'Reconciliation Adj EBITDA'!Q9</f>
        <v>4555</v>
      </c>
      <c r="R5" s="63">
        <f>'Reconciliation Adj EBITDA'!R9</f>
        <v>6771</v>
      </c>
      <c r="S5" s="63">
        <f>'Reconciliation Adj EBITDA'!S9</f>
        <v>4901</v>
      </c>
      <c r="T5" s="63">
        <f>'Reconciliation Adj EBITDA'!T9</f>
        <v>5005</v>
      </c>
      <c r="U5" s="74">
        <f>'Reconciliation Adj EBITDA'!U9</f>
        <v>21232</v>
      </c>
      <c r="V5" s="63">
        <f>'Reconciliation Adj EBITDA'!V9</f>
        <v>4025</v>
      </c>
      <c r="W5" s="63">
        <f>'Reconciliation Adj EBITDA'!W9</f>
        <v>4203</v>
      </c>
    </row>
    <row r="6" spans="1:23" s="2" customFormat="1" ht="15" customHeight="1" x14ac:dyDescent="0.35">
      <c r="A6" s="38" t="s">
        <v>97</v>
      </c>
      <c r="B6" s="65">
        <f>'Reconciliation Adj EBITDA'!B10</f>
        <v>3454</v>
      </c>
      <c r="C6" s="65">
        <f>'Reconciliation Adj EBITDA'!C10</f>
        <v>2903</v>
      </c>
      <c r="D6" s="65">
        <f>'Reconciliation Adj EBITDA'!D10</f>
        <v>1715</v>
      </c>
      <c r="E6" s="65">
        <f>'Reconciliation Adj EBITDA'!E10</f>
        <v>3606</v>
      </c>
      <c r="F6" s="76">
        <f>'Reconciliation Adj EBITDA'!F10</f>
        <v>11678</v>
      </c>
      <c r="G6" s="65">
        <f>'Reconciliation Adj EBITDA'!G10</f>
        <v>3390</v>
      </c>
      <c r="H6" s="65">
        <f>'Reconciliation Adj EBITDA'!H10</f>
        <v>2488</v>
      </c>
      <c r="I6" s="65">
        <f>'Reconciliation Adj EBITDA'!I10</f>
        <v>5143</v>
      </c>
      <c r="J6" s="65">
        <f>'Reconciliation Adj EBITDA'!J10</f>
        <v>5816</v>
      </c>
      <c r="K6" s="76">
        <f>'Reconciliation Adj EBITDA'!K10</f>
        <v>16838</v>
      </c>
      <c r="L6" s="65">
        <f>'Reconciliation Adj EBITDA'!L10</f>
        <v>6710</v>
      </c>
      <c r="M6" s="65">
        <f>'Reconciliation Adj EBITDA'!M10</f>
        <v>6401</v>
      </c>
      <c r="N6" s="65">
        <f>'Reconciliation Adj EBITDA'!N10</f>
        <v>9897</v>
      </c>
      <c r="O6" s="65">
        <f>'Reconciliation Adj EBITDA'!O10</f>
        <v>8377</v>
      </c>
      <c r="P6" s="76">
        <f>'Reconciliation Adj EBITDA'!P10</f>
        <v>31386</v>
      </c>
      <c r="Q6" s="65">
        <f>'Reconciliation Adj EBITDA'!Q10</f>
        <v>7832</v>
      </c>
      <c r="R6" s="65">
        <f>'Reconciliation Adj EBITDA'!R10</f>
        <v>8668</v>
      </c>
      <c r="S6" s="65">
        <f>'Reconciliation Adj EBITDA'!S10</f>
        <v>6952</v>
      </c>
      <c r="T6" s="65">
        <f>'Reconciliation Adj EBITDA'!T10</f>
        <v>5793</v>
      </c>
      <c r="U6" s="76">
        <f>'Reconciliation Adj EBITDA'!U10</f>
        <v>29244</v>
      </c>
      <c r="V6" s="65">
        <f>'Reconciliation Adj EBITDA'!V10</f>
        <v>6201</v>
      </c>
      <c r="W6" s="65">
        <f>'Reconciliation Adj EBITDA'!W10</f>
        <v>5693</v>
      </c>
    </row>
    <row r="7" spans="1:23" s="2" customFormat="1" ht="15" customHeight="1" x14ac:dyDescent="0.35">
      <c r="A7" s="38" t="s">
        <v>98</v>
      </c>
      <c r="B7" s="96">
        <f>'Reconciliation Adj EBITDA'!B11</f>
        <v>1385</v>
      </c>
      <c r="C7" s="96">
        <f>'Reconciliation Adj EBITDA'!C11</f>
        <v>1260</v>
      </c>
      <c r="D7" s="96">
        <f>'Reconciliation Adj EBITDA'!D11</f>
        <v>1171</v>
      </c>
      <c r="E7" s="96">
        <f>'Reconciliation Adj EBITDA'!E11</f>
        <v>1975</v>
      </c>
      <c r="F7" s="94">
        <f>'Reconciliation Adj EBITDA'!F11</f>
        <v>5791</v>
      </c>
      <c r="G7" s="96">
        <f>'Reconciliation Adj EBITDA'!G11</f>
        <v>2578</v>
      </c>
      <c r="H7" s="96">
        <f>'Reconciliation Adj EBITDA'!H11</f>
        <v>3028</v>
      </c>
      <c r="I7" s="96">
        <f>'Reconciliation Adj EBITDA'!I11</f>
        <v>4155</v>
      </c>
      <c r="J7" s="96">
        <f>'Reconciliation Adj EBITDA'!J11</f>
        <v>4553</v>
      </c>
      <c r="K7" s="94">
        <f>'Reconciliation Adj EBITDA'!K11</f>
        <v>14313</v>
      </c>
      <c r="L7" s="96">
        <f>'Reconciliation Adj EBITDA'!L11</f>
        <v>4314</v>
      </c>
      <c r="M7" s="120">
        <f>'Reconciliation Adj EBITDA'!M11</f>
        <v>4056</v>
      </c>
      <c r="N7" s="120">
        <f>'Reconciliation Adj EBITDA'!N11</f>
        <v>5770</v>
      </c>
      <c r="O7" s="120">
        <f>'Reconciliation Adj EBITDA'!O11</f>
        <v>5732</v>
      </c>
      <c r="P7" s="121">
        <f>'Reconciliation Adj EBITDA'!P11</f>
        <v>19872</v>
      </c>
      <c r="Q7" s="65">
        <f>'Reconciliation Adj EBITDA'!Q11</f>
        <v>6916</v>
      </c>
      <c r="R7" s="65">
        <f>'Reconciliation Adj EBITDA'!R11</f>
        <v>4806</v>
      </c>
      <c r="S7" s="65">
        <f>'Reconciliation Adj EBITDA'!S11</f>
        <v>5408</v>
      </c>
      <c r="T7" s="120">
        <f>'Reconciliation Adj EBITDA'!T11</f>
        <v>-531</v>
      </c>
      <c r="U7" s="121">
        <f>'Reconciliation Adj EBITDA'!U11</f>
        <v>16600</v>
      </c>
      <c r="V7" s="65">
        <f>'Reconciliation Adj EBITDA'!V11</f>
        <v>3656</v>
      </c>
      <c r="W7" s="65">
        <f>'Reconciliation Adj EBITDA'!W11</f>
        <v>4495</v>
      </c>
    </row>
    <row r="8" spans="1:23" s="2" customFormat="1" ht="14" customHeight="1" thickBot="1" x14ac:dyDescent="0.45">
      <c r="A8" s="39" t="s">
        <v>114</v>
      </c>
      <c r="B8" s="113">
        <f t="shared" ref="B8:F8" si="0">SUM(B5:B7)</f>
        <v>6317</v>
      </c>
      <c r="C8" s="113">
        <f t="shared" si="0"/>
        <v>5325</v>
      </c>
      <c r="D8" s="113">
        <f t="shared" si="0"/>
        <v>4600</v>
      </c>
      <c r="E8" s="113">
        <f t="shared" si="0"/>
        <v>7748</v>
      </c>
      <c r="F8" s="117">
        <f t="shared" si="0"/>
        <v>23989</v>
      </c>
      <c r="G8" s="113">
        <f>SUM(G5:G7)</f>
        <v>8370</v>
      </c>
      <c r="H8" s="113">
        <f>SUM(H5:H7)</f>
        <v>7695</v>
      </c>
      <c r="I8" s="113">
        <f>SUM(I5:I7)</f>
        <v>13965</v>
      </c>
      <c r="J8" s="113">
        <f t="shared" ref="J8:P8" si="1">SUM(J5:J7)</f>
        <v>13229</v>
      </c>
      <c r="K8" s="117">
        <f t="shared" si="1"/>
        <v>43259</v>
      </c>
      <c r="L8" s="113">
        <f t="shared" si="1"/>
        <v>14940</v>
      </c>
      <c r="M8" s="113">
        <f>SUM(M5:M7)</f>
        <v>14918</v>
      </c>
      <c r="N8" s="113">
        <f>SUM(N5:N7)</f>
        <v>22028</v>
      </c>
      <c r="O8" s="113">
        <f t="shared" si="1"/>
        <v>20464</v>
      </c>
      <c r="P8" s="117">
        <f t="shared" si="1"/>
        <v>72351</v>
      </c>
      <c r="Q8" s="113">
        <f>SUM(Q5:Q7)</f>
        <v>19303</v>
      </c>
      <c r="R8" s="113">
        <f>SUM(R5:R7)</f>
        <v>20245</v>
      </c>
      <c r="S8" s="113">
        <f>SUM(S5:S7)</f>
        <v>17261</v>
      </c>
      <c r="T8" s="113">
        <f t="shared" ref="T8:U8" si="2">SUM(T5:T7)</f>
        <v>10267</v>
      </c>
      <c r="U8" s="117">
        <f t="shared" si="2"/>
        <v>67076</v>
      </c>
      <c r="V8" s="113">
        <f>SUM(V5:V7)</f>
        <v>13882</v>
      </c>
      <c r="W8" s="113">
        <f>SUM(W5:W7)</f>
        <v>14391</v>
      </c>
    </row>
    <row r="9" spans="1:23" s="2" customFormat="1" ht="15" customHeight="1" thickTop="1" x14ac:dyDescent="0.35">
      <c r="B9" s="15"/>
      <c r="C9" s="15"/>
      <c r="D9" s="15"/>
      <c r="E9" s="15"/>
      <c r="F9" s="22"/>
      <c r="G9" s="15"/>
      <c r="H9" s="15"/>
      <c r="I9" s="15"/>
      <c r="J9" s="15"/>
      <c r="K9" s="22"/>
      <c r="L9" s="15"/>
      <c r="M9" s="15"/>
      <c r="N9" s="15"/>
      <c r="O9" s="15"/>
      <c r="P9" s="22"/>
      <c r="Q9" s="15"/>
      <c r="R9" s="15"/>
      <c r="S9" s="15"/>
      <c r="T9" s="15"/>
      <c r="U9" s="22"/>
      <c r="V9" s="15"/>
      <c r="W9" s="15"/>
    </row>
    <row r="10" spans="1:23" s="2" customFormat="1" ht="14" customHeight="1" x14ac:dyDescent="0.4">
      <c r="A10" s="33" t="s">
        <v>99</v>
      </c>
      <c r="B10" s="15"/>
      <c r="C10" s="15"/>
      <c r="D10" s="15"/>
      <c r="E10" s="15"/>
      <c r="F10" s="22"/>
      <c r="G10" s="15"/>
      <c r="H10" s="15"/>
      <c r="I10" s="15"/>
      <c r="J10" s="15"/>
      <c r="K10" s="22"/>
      <c r="L10" s="15"/>
      <c r="M10" s="15"/>
      <c r="N10" s="15"/>
      <c r="O10" s="15"/>
      <c r="P10" s="22"/>
      <c r="Q10" s="15"/>
      <c r="R10" s="15"/>
      <c r="S10" s="15"/>
      <c r="T10" s="15"/>
      <c r="U10" s="22"/>
      <c r="V10" s="15"/>
      <c r="W10" s="15"/>
    </row>
    <row r="11" spans="1:23" s="2" customFormat="1" ht="15" customHeight="1" x14ac:dyDescent="0.35">
      <c r="A11" s="38" t="s">
        <v>96</v>
      </c>
      <c r="B11" s="65">
        <f>'Reconciliation Adj EBITDA'!B13</f>
        <v>42</v>
      </c>
      <c r="C11" s="65">
        <f>'Reconciliation Adj EBITDA'!C13</f>
        <v>40</v>
      </c>
      <c r="D11" s="65">
        <f>'Reconciliation Adj EBITDA'!D13</f>
        <v>41</v>
      </c>
      <c r="E11" s="65">
        <f>'Reconciliation Adj EBITDA'!E13</f>
        <v>40</v>
      </c>
      <c r="F11" s="76">
        <f>'Reconciliation Adj EBITDA'!F13</f>
        <v>163</v>
      </c>
      <c r="G11" s="65">
        <f>'Reconciliation Adj EBITDA'!G13</f>
        <v>52</v>
      </c>
      <c r="H11" s="65">
        <f>'Reconciliation Adj EBITDA'!H13</f>
        <v>53</v>
      </c>
      <c r="I11" s="65">
        <f>'Reconciliation Adj EBITDA'!I13</f>
        <v>55</v>
      </c>
      <c r="J11" s="65">
        <f>'Reconciliation Adj EBITDA'!J13</f>
        <v>52</v>
      </c>
      <c r="K11" s="76">
        <f>'Reconciliation Adj EBITDA'!K13</f>
        <v>211</v>
      </c>
      <c r="L11" s="65">
        <f>'Reconciliation Adj EBITDA'!L13</f>
        <v>146</v>
      </c>
      <c r="M11" s="65">
        <f>'Reconciliation Adj EBITDA'!M13</f>
        <v>151</v>
      </c>
      <c r="N11" s="65">
        <f>'Reconciliation Adj EBITDA'!N13</f>
        <v>161</v>
      </c>
      <c r="O11" s="65">
        <f>'Reconciliation Adj EBITDA'!O13</f>
        <v>162</v>
      </c>
      <c r="P11" s="76">
        <f>'Reconciliation Adj EBITDA'!P13</f>
        <v>621</v>
      </c>
      <c r="Q11" s="65">
        <f>'Reconciliation Adj EBITDA'!Q13</f>
        <v>220</v>
      </c>
      <c r="R11" s="65">
        <f>'Reconciliation Adj EBITDA'!R13</f>
        <v>212</v>
      </c>
      <c r="S11" s="65">
        <f>'Reconciliation Adj EBITDA'!S13</f>
        <v>208</v>
      </c>
      <c r="T11" s="65">
        <f>'Reconciliation Adj EBITDA'!T13</f>
        <v>204</v>
      </c>
      <c r="U11" s="76">
        <f>'Reconciliation Adj EBITDA'!U13</f>
        <v>844</v>
      </c>
      <c r="V11" s="65">
        <f>'Reconciliation Adj EBITDA'!V13</f>
        <v>193</v>
      </c>
      <c r="W11" s="65">
        <f>'Reconciliation Adj EBITDA'!W13</f>
        <v>191</v>
      </c>
    </row>
    <row r="12" spans="1:23" s="2" customFormat="1" ht="15" customHeight="1" x14ac:dyDescent="0.35">
      <c r="A12" s="38" t="s">
        <v>97</v>
      </c>
      <c r="B12" s="65">
        <f>'Reconciliation Adj EBITDA'!B14</f>
        <v>39</v>
      </c>
      <c r="C12" s="65">
        <f>'Reconciliation Adj EBITDA'!C14</f>
        <v>39</v>
      </c>
      <c r="D12" s="65">
        <f>'Reconciliation Adj EBITDA'!D14</f>
        <v>37</v>
      </c>
      <c r="E12" s="65">
        <f>'Reconciliation Adj EBITDA'!E14</f>
        <v>38</v>
      </c>
      <c r="F12" s="76">
        <f>'Reconciliation Adj EBITDA'!F14</f>
        <v>153</v>
      </c>
      <c r="G12" s="65">
        <f>'Reconciliation Adj EBITDA'!G14</f>
        <v>34</v>
      </c>
      <c r="H12" s="65">
        <f>'Reconciliation Adj EBITDA'!H14</f>
        <v>35</v>
      </c>
      <c r="I12" s="65">
        <f>'Reconciliation Adj EBITDA'!I14</f>
        <v>38</v>
      </c>
      <c r="J12" s="65">
        <f>'Reconciliation Adj EBITDA'!J14</f>
        <v>37</v>
      </c>
      <c r="K12" s="76">
        <f>'Reconciliation Adj EBITDA'!K14</f>
        <v>144</v>
      </c>
      <c r="L12" s="65">
        <f>'Reconciliation Adj EBITDA'!L14</f>
        <v>59</v>
      </c>
      <c r="M12" s="65">
        <f>'Reconciliation Adj EBITDA'!M14</f>
        <v>60</v>
      </c>
      <c r="N12" s="65">
        <f>'Reconciliation Adj EBITDA'!N14</f>
        <v>65</v>
      </c>
      <c r="O12" s="65">
        <f>'Reconciliation Adj EBITDA'!O14</f>
        <v>63</v>
      </c>
      <c r="P12" s="76">
        <f>'Reconciliation Adj EBITDA'!P14</f>
        <v>247</v>
      </c>
      <c r="Q12" s="65">
        <f>'Reconciliation Adj EBITDA'!Q14</f>
        <v>79</v>
      </c>
      <c r="R12" s="65">
        <f>'Reconciliation Adj EBITDA'!R14</f>
        <v>75</v>
      </c>
      <c r="S12" s="65">
        <f>'Reconciliation Adj EBITDA'!S14</f>
        <v>83</v>
      </c>
      <c r="T12" s="65">
        <f>'Reconciliation Adj EBITDA'!T14</f>
        <v>88</v>
      </c>
      <c r="U12" s="76">
        <f>'Reconciliation Adj EBITDA'!U14</f>
        <v>325</v>
      </c>
      <c r="V12" s="65">
        <f>'Reconciliation Adj EBITDA'!V14</f>
        <v>72</v>
      </c>
      <c r="W12" s="65">
        <f>'Reconciliation Adj EBITDA'!W14</f>
        <v>71</v>
      </c>
    </row>
    <row r="13" spans="1:23" s="2" customFormat="1" ht="15" customHeight="1" x14ac:dyDescent="0.35">
      <c r="A13" s="38" t="s">
        <v>98</v>
      </c>
      <c r="B13" s="65">
        <f>'Reconciliation Adj EBITDA'!B15</f>
        <v>31</v>
      </c>
      <c r="C13" s="65">
        <f>'Reconciliation Adj EBITDA'!C15</f>
        <v>31</v>
      </c>
      <c r="D13" s="65">
        <f>'Reconciliation Adj EBITDA'!D15</f>
        <v>32</v>
      </c>
      <c r="E13" s="65">
        <f>'Reconciliation Adj EBITDA'!E15</f>
        <v>31</v>
      </c>
      <c r="F13" s="76">
        <f>'Reconciliation Adj EBITDA'!F15</f>
        <v>125</v>
      </c>
      <c r="G13" s="65">
        <f>'Reconciliation Adj EBITDA'!G15</f>
        <v>43</v>
      </c>
      <c r="H13" s="65">
        <f>'Reconciliation Adj EBITDA'!H15</f>
        <v>43</v>
      </c>
      <c r="I13" s="65">
        <f>'Reconciliation Adj EBITDA'!I15</f>
        <v>39</v>
      </c>
      <c r="J13" s="65">
        <f>'Reconciliation Adj EBITDA'!J15</f>
        <v>44</v>
      </c>
      <c r="K13" s="76">
        <f>'Reconciliation Adj EBITDA'!K15</f>
        <v>169</v>
      </c>
      <c r="L13" s="65">
        <f>'Reconciliation Adj EBITDA'!L15</f>
        <v>85</v>
      </c>
      <c r="M13" s="65">
        <f>'Reconciliation Adj EBITDA'!M15</f>
        <v>88</v>
      </c>
      <c r="N13" s="65">
        <f>'Reconciliation Adj EBITDA'!N15</f>
        <v>94</v>
      </c>
      <c r="O13" s="65">
        <f>'Reconciliation Adj EBITDA'!O15</f>
        <v>96</v>
      </c>
      <c r="P13" s="76">
        <f>'Reconciliation Adj EBITDA'!P15</f>
        <v>363</v>
      </c>
      <c r="Q13" s="65">
        <f>'Reconciliation Adj EBITDA'!Q15</f>
        <v>135</v>
      </c>
      <c r="R13" s="65">
        <f>'Reconciliation Adj EBITDA'!R15</f>
        <v>132</v>
      </c>
      <c r="S13" s="65">
        <f>'Reconciliation Adj EBITDA'!S15</f>
        <v>128</v>
      </c>
      <c r="T13" s="65">
        <f>'Reconciliation Adj EBITDA'!T15</f>
        <v>127</v>
      </c>
      <c r="U13" s="76">
        <f>'Reconciliation Adj EBITDA'!U15</f>
        <v>522</v>
      </c>
      <c r="V13" s="65">
        <f>'Reconciliation Adj EBITDA'!V15</f>
        <v>129</v>
      </c>
      <c r="W13" s="65">
        <f>'Reconciliation Adj EBITDA'!W15</f>
        <v>129</v>
      </c>
    </row>
    <row r="14" spans="1:23" s="2" customFormat="1" ht="14" customHeight="1" thickBot="1" x14ac:dyDescent="0.45">
      <c r="A14" s="39" t="s">
        <v>115</v>
      </c>
      <c r="B14" s="113">
        <f t="shared" ref="B14:F14" si="3">SUM(B11:B13)</f>
        <v>112</v>
      </c>
      <c r="C14" s="113">
        <f t="shared" si="3"/>
        <v>110</v>
      </c>
      <c r="D14" s="113">
        <f t="shared" si="3"/>
        <v>110</v>
      </c>
      <c r="E14" s="113">
        <f t="shared" si="3"/>
        <v>109</v>
      </c>
      <c r="F14" s="117">
        <f t="shared" si="3"/>
        <v>441</v>
      </c>
      <c r="G14" s="113">
        <f>SUM(G11:G13)</f>
        <v>129</v>
      </c>
      <c r="H14" s="113">
        <f>SUM(H11:H13)</f>
        <v>131</v>
      </c>
      <c r="I14" s="113">
        <f>SUM(I11:I13)</f>
        <v>132</v>
      </c>
      <c r="J14" s="113">
        <f>SUM(J11:J13)</f>
        <v>133</v>
      </c>
      <c r="K14" s="117">
        <f t="shared" ref="K14:Q14" si="4">SUM(K11:K13)</f>
        <v>524</v>
      </c>
      <c r="L14" s="113">
        <f t="shared" si="4"/>
        <v>290</v>
      </c>
      <c r="M14" s="113">
        <f>SUM(M11:M13)</f>
        <v>299</v>
      </c>
      <c r="N14" s="113">
        <f>SUM(N11:N13)</f>
        <v>320</v>
      </c>
      <c r="O14" s="113">
        <f t="shared" si="4"/>
        <v>321</v>
      </c>
      <c r="P14" s="117">
        <f t="shared" si="4"/>
        <v>1231</v>
      </c>
      <c r="Q14" s="113">
        <f t="shared" si="4"/>
        <v>434</v>
      </c>
      <c r="R14" s="113">
        <f t="shared" ref="R14:V14" si="5">SUM(R11:R13)</f>
        <v>419</v>
      </c>
      <c r="S14" s="113">
        <f t="shared" si="5"/>
        <v>419</v>
      </c>
      <c r="T14" s="113">
        <f t="shared" si="5"/>
        <v>419</v>
      </c>
      <c r="U14" s="117">
        <f t="shared" si="5"/>
        <v>1691</v>
      </c>
      <c r="V14" s="113">
        <f t="shared" si="5"/>
        <v>394</v>
      </c>
      <c r="W14" s="113">
        <f t="shared" ref="W14" si="6">SUM(W11:W13)</f>
        <v>391</v>
      </c>
    </row>
    <row r="15" spans="1:23" s="2" customFormat="1" ht="15" customHeight="1" thickTop="1" x14ac:dyDescent="0.35">
      <c r="B15" s="15"/>
      <c r="C15" s="15"/>
      <c r="D15" s="15"/>
      <c r="E15" s="15"/>
      <c r="F15" s="22"/>
      <c r="G15" s="15"/>
      <c r="H15" s="15"/>
      <c r="I15" s="15"/>
      <c r="J15" s="15"/>
      <c r="K15" s="22"/>
      <c r="L15" s="15"/>
      <c r="M15" s="15"/>
      <c r="N15" s="15"/>
      <c r="O15" s="15"/>
      <c r="P15" s="22"/>
      <c r="Q15" s="15"/>
      <c r="R15" s="15"/>
      <c r="S15" s="15"/>
      <c r="T15" s="15"/>
      <c r="U15" s="22"/>
      <c r="V15" s="15"/>
      <c r="W15" s="15"/>
    </row>
    <row r="16" spans="1:23" s="2" customFormat="1" ht="14" customHeight="1" x14ac:dyDescent="0.4">
      <c r="A16" s="33" t="s">
        <v>100</v>
      </c>
      <c r="B16" s="15"/>
      <c r="C16" s="15"/>
      <c r="D16" s="15"/>
      <c r="E16" s="15"/>
      <c r="F16" s="22"/>
      <c r="G16" s="15"/>
      <c r="H16" s="15"/>
      <c r="I16" s="15"/>
      <c r="J16" s="15"/>
      <c r="K16" s="22"/>
      <c r="L16" s="15"/>
      <c r="M16" s="15"/>
      <c r="N16" s="15"/>
      <c r="O16" s="15"/>
      <c r="P16" s="22"/>
      <c r="Q16" s="15"/>
      <c r="R16" s="15"/>
      <c r="S16" s="15"/>
      <c r="T16" s="15"/>
      <c r="U16" s="22"/>
      <c r="V16" s="15"/>
      <c r="W16" s="15"/>
    </row>
    <row r="17" spans="1:23" s="2" customFormat="1" ht="15" customHeight="1" x14ac:dyDescent="0.35">
      <c r="A17" s="38" t="s">
        <v>43</v>
      </c>
      <c r="B17" s="65">
        <f>'Reconciliation Adj EBITDA'!B17</f>
        <v>5971</v>
      </c>
      <c r="C17" s="65">
        <f>'Reconciliation Adj EBITDA'!C17</f>
        <v>6813</v>
      </c>
      <c r="D17" s="65">
        <f>'Reconciliation Adj EBITDA'!D17</f>
        <v>8503</v>
      </c>
      <c r="E17" s="65">
        <f>'Reconciliation Adj EBITDA'!E17</f>
        <v>8579</v>
      </c>
      <c r="F17" s="76">
        <f>'Reconciliation Adj EBITDA'!F17</f>
        <v>29866</v>
      </c>
      <c r="G17" s="65">
        <f>'Reconciliation Adj EBITDA'!G17</f>
        <v>8220</v>
      </c>
      <c r="H17" s="65">
        <f>'Reconciliation Adj EBITDA'!H17</f>
        <v>9220</v>
      </c>
      <c r="I17" s="65">
        <f>'Reconciliation Adj EBITDA'!I17</f>
        <v>10406</v>
      </c>
      <c r="J17" s="65">
        <f>'Reconciliation Adj EBITDA'!J17</f>
        <v>10623</v>
      </c>
      <c r="K17" s="76">
        <f>'Reconciliation Adj EBITDA'!K17</f>
        <v>38469</v>
      </c>
      <c r="L17" s="65">
        <f>'Reconciliation Adj EBITDA'!L17</f>
        <v>11091</v>
      </c>
      <c r="M17" s="65">
        <f>'Reconciliation Adj EBITDA'!M17</f>
        <v>13003</v>
      </c>
      <c r="N17" s="65">
        <f>'Reconciliation Adj EBITDA'!N17</f>
        <v>14320</v>
      </c>
      <c r="O17" s="65">
        <f>'Reconciliation Adj EBITDA'!O17</f>
        <v>15575</v>
      </c>
      <c r="P17" s="76">
        <f>'Reconciliation Adj EBITDA'!P17</f>
        <v>53988</v>
      </c>
      <c r="Q17" s="65">
        <f>'Reconciliation Adj EBITDA'!Q17</f>
        <v>15249</v>
      </c>
      <c r="R17" s="65">
        <f>'Reconciliation Adj EBITDA'!R17</f>
        <v>15050</v>
      </c>
      <c r="S17" s="65">
        <f>'Reconciliation Adj EBITDA'!S17</f>
        <v>16571</v>
      </c>
      <c r="T17" s="65">
        <f>'Reconciliation Adj EBITDA'!T17</f>
        <v>20477</v>
      </c>
      <c r="U17" s="76">
        <f>'Reconciliation Adj EBITDA'!U17</f>
        <v>67347</v>
      </c>
      <c r="V17" s="65">
        <f>'Reconciliation Adj EBITDA'!V17</f>
        <v>9135</v>
      </c>
      <c r="W17" s="65">
        <f>'Reconciliation Adj EBITDA'!W17</f>
        <v>10847</v>
      </c>
    </row>
    <row r="18" spans="1:23" s="2" customFormat="1" ht="15" customHeight="1" x14ac:dyDescent="0.35">
      <c r="A18" s="38" t="s">
        <v>96</v>
      </c>
      <c r="B18" s="65">
        <f>'Reconciliation Adj EBITDA'!B18</f>
        <v>1144</v>
      </c>
      <c r="C18" s="65">
        <f>'Reconciliation Adj EBITDA'!C18</f>
        <v>1977</v>
      </c>
      <c r="D18" s="65">
        <f>'Reconciliation Adj EBITDA'!D18</f>
        <v>1690</v>
      </c>
      <c r="E18" s="65">
        <f>'Reconciliation Adj EBITDA'!E18</f>
        <v>3183</v>
      </c>
      <c r="F18" s="76">
        <f>'Reconciliation Adj EBITDA'!F18</f>
        <v>7995</v>
      </c>
      <c r="G18" s="65">
        <f>'Reconciliation Adj EBITDA'!G18</f>
        <v>2007</v>
      </c>
      <c r="H18" s="65">
        <f>'Reconciliation Adj EBITDA'!H18</f>
        <v>1457</v>
      </c>
      <c r="I18" s="65">
        <f>'Reconciliation Adj EBITDA'!I18</f>
        <v>1640</v>
      </c>
      <c r="J18" s="65">
        <f>'Reconciliation Adj EBITDA'!J18</f>
        <v>2106</v>
      </c>
      <c r="K18" s="76">
        <f>'Reconciliation Adj EBITDA'!K18</f>
        <v>7211</v>
      </c>
      <c r="L18" s="65">
        <f>'Reconciliation Adj EBITDA'!L18</f>
        <v>2944</v>
      </c>
      <c r="M18" s="65">
        <f>'Reconciliation Adj EBITDA'!M18</f>
        <v>3092</v>
      </c>
      <c r="N18" s="65">
        <f>'Reconciliation Adj EBITDA'!N18</f>
        <v>2822</v>
      </c>
      <c r="O18" s="65">
        <f>'Reconciliation Adj EBITDA'!O18</f>
        <v>2369</v>
      </c>
      <c r="P18" s="76">
        <f>'Reconciliation Adj EBITDA'!P18</f>
        <v>11226</v>
      </c>
      <c r="Q18" s="65">
        <f>'Reconciliation Adj EBITDA'!Q18</f>
        <v>2221</v>
      </c>
      <c r="R18" s="65">
        <f>'Reconciliation Adj EBITDA'!R18</f>
        <v>2245</v>
      </c>
      <c r="S18" s="65">
        <f>'Reconciliation Adj EBITDA'!S18</f>
        <v>2724</v>
      </c>
      <c r="T18" s="65">
        <f>'Reconciliation Adj EBITDA'!T18</f>
        <v>3412</v>
      </c>
      <c r="U18" s="76">
        <f>'Reconciliation Adj EBITDA'!U18</f>
        <v>10602</v>
      </c>
      <c r="V18" s="65">
        <f>'Reconciliation Adj EBITDA'!V18</f>
        <v>3477</v>
      </c>
      <c r="W18" s="65">
        <f>'Reconciliation Adj EBITDA'!W18</f>
        <v>3534</v>
      </c>
    </row>
    <row r="19" spans="1:23" s="2" customFormat="1" ht="15" customHeight="1" x14ac:dyDescent="0.35">
      <c r="A19" s="38" t="s">
        <v>97</v>
      </c>
      <c r="B19" s="65">
        <f>'Reconciliation Adj EBITDA'!B19</f>
        <v>992</v>
      </c>
      <c r="C19" s="65">
        <f>'Reconciliation Adj EBITDA'!C19</f>
        <v>1112</v>
      </c>
      <c r="D19" s="65">
        <f>'Reconciliation Adj EBITDA'!D19</f>
        <v>1330</v>
      </c>
      <c r="E19" s="65">
        <f>'Reconciliation Adj EBITDA'!E19</f>
        <v>1744</v>
      </c>
      <c r="F19" s="76">
        <f>'Reconciliation Adj EBITDA'!F19</f>
        <v>5178</v>
      </c>
      <c r="G19" s="65">
        <f>'Reconciliation Adj EBITDA'!G19</f>
        <v>1771</v>
      </c>
      <c r="H19" s="65">
        <f>'Reconciliation Adj EBITDA'!H19</f>
        <v>2019</v>
      </c>
      <c r="I19" s="65">
        <f>'Reconciliation Adj EBITDA'!I19</f>
        <v>1813</v>
      </c>
      <c r="J19" s="65">
        <f>'Reconciliation Adj EBITDA'!J19</f>
        <v>2153</v>
      </c>
      <c r="K19" s="76">
        <f>'Reconciliation Adj EBITDA'!K19</f>
        <v>7757</v>
      </c>
      <c r="L19" s="65">
        <f>'Reconciliation Adj EBITDA'!L19</f>
        <v>4961</v>
      </c>
      <c r="M19" s="65">
        <f>'Reconciliation Adj EBITDA'!M19</f>
        <v>4925</v>
      </c>
      <c r="N19" s="65">
        <f>'Reconciliation Adj EBITDA'!N19</f>
        <v>5102</v>
      </c>
      <c r="O19" s="65">
        <f>'Reconciliation Adj EBITDA'!O19</f>
        <v>4856</v>
      </c>
      <c r="P19" s="76">
        <f>'Reconciliation Adj EBITDA'!P19</f>
        <v>19844</v>
      </c>
      <c r="Q19" s="65">
        <f>'Reconciliation Adj EBITDA'!Q19</f>
        <v>4454</v>
      </c>
      <c r="R19" s="65">
        <f>'Reconciliation Adj EBITDA'!R19</f>
        <v>4518</v>
      </c>
      <c r="S19" s="65">
        <f>'Reconciliation Adj EBITDA'!S19</f>
        <v>4442</v>
      </c>
      <c r="T19" s="65">
        <f>'Reconciliation Adj EBITDA'!T19</f>
        <v>4831</v>
      </c>
      <c r="U19" s="76">
        <f>'Reconciliation Adj EBITDA'!U19</f>
        <v>18245</v>
      </c>
      <c r="V19" s="65">
        <f>'Reconciliation Adj EBITDA'!V19</f>
        <v>4864</v>
      </c>
      <c r="W19" s="65">
        <f>'Reconciliation Adj EBITDA'!W19</f>
        <v>5109</v>
      </c>
    </row>
    <row r="20" spans="1:23" s="2" customFormat="1" ht="15" customHeight="1" x14ac:dyDescent="0.35">
      <c r="A20" s="38" t="s">
        <v>98</v>
      </c>
      <c r="B20" s="65">
        <f>'Reconciliation Adj EBITDA'!B20</f>
        <v>321</v>
      </c>
      <c r="C20" s="65">
        <f>'Reconciliation Adj EBITDA'!C20</f>
        <v>376</v>
      </c>
      <c r="D20" s="65">
        <f>'Reconciliation Adj EBITDA'!D20</f>
        <v>369</v>
      </c>
      <c r="E20" s="65">
        <f>'Reconciliation Adj EBITDA'!E20</f>
        <v>461</v>
      </c>
      <c r="F20" s="76">
        <f>'Reconciliation Adj EBITDA'!F20</f>
        <v>1526</v>
      </c>
      <c r="G20" s="65">
        <f>'Reconciliation Adj EBITDA'!G20</f>
        <v>518</v>
      </c>
      <c r="H20" s="65">
        <f>'Reconciliation Adj EBITDA'!H20</f>
        <v>604</v>
      </c>
      <c r="I20" s="65">
        <f>'Reconciliation Adj EBITDA'!I20</f>
        <v>912</v>
      </c>
      <c r="J20" s="65">
        <f>'Reconciliation Adj EBITDA'!J20</f>
        <v>1308</v>
      </c>
      <c r="K20" s="76">
        <f>'Reconciliation Adj EBITDA'!K20</f>
        <v>3342</v>
      </c>
      <c r="L20" s="65">
        <f>'Reconciliation Adj EBITDA'!L20</f>
        <v>1171</v>
      </c>
      <c r="M20" s="65">
        <f>'Reconciliation Adj EBITDA'!M20</f>
        <v>1286</v>
      </c>
      <c r="N20" s="65">
        <f>'Reconciliation Adj EBITDA'!N20</f>
        <v>1511</v>
      </c>
      <c r="O20" s="65">
        <f>'Reconciliation Adj EBITDA'!O20</f>
        <v>1770</v>
      </c>
      <c r="P20" s="76">
        <f>'Reconciliation Adj EBITDA'!P20</f>
        <v>5738</v>
      </c>
      <c r="Q20" s="65">
        <f>'Reconciliation Adj EBITDA'!Q20</f>
        <v>1722</v>
      </c>
      <c r="R20" s="65">
        <f>'Reconciliation Adj EBITDA'!R20</f>
        <v>1747</v>
      </c>
      <c r="S20" s="65">
        <f>'Reconciliation Adj EBITDA'!S20</f>
        <v>1882</v>
      </c>
      <c r="T20" s="65">
        <f>'Reconciliation Adj EBITDA'!T20</f>
        <v>1955</v>
      </c>
      <c r="U20" s="76">
        <f>'Reconciliation Adj EBITDA'!U20</f>
        <v>7306</v>
      </c>
      <c r="V20" s="65">
        <f>'Reconciliation Adj EBITDA'!V20</f>
        <v>1820</v>
      </c>
      <c r="W20" s="65">
        <f>'Reconciliation Adj EBITDA'!W20</f>
        <v>1825</v>
      </c>
    </row>
    <row r="21" spans="1:23" s="2" customFormat="1" ht="14" customHeight="1" thickBot="1" x14ac:dyDescent="0.45">
      <c r="A21" s="39" t="s">
        <v>116</v>
      </c>
      <c r="B21" s="113">
        <f t="shared" ref="B21:F21" si="7">SUM(B17:B20)</f>
        <v>8428</v>
      </c>
      <c r="C21" s="113">
        <f t="shared" si="7"/>
        <v>10278</v>
      </c>
      <c r="D21" s="113">
        <f t="shared" si="7"/>
        <v>11892</v>
      </c>
      <c r="E21" s="113">
        <f t="shared" si="7"/>
        <v>13967</v>
      </c>
      <c r="F21" s="117">
        <f t="shared" si="7"/>
        <v>44565</v>
      </c>
      <c r="G21" s="113">
        <f>SUM(G17:G20)</f>
        <v>12516</v>
      </c>
      <c r="H21" s="113">
        <f>SUM(H17:H20)</f>
        <v>13300</v>
      </c>
      <c r="I21" s="113">
        <f>SUM(I17:I20)</f>
        <v>14771</v>
      </c>
      <c r="J21" s="113">
        <f>SUM(J17:J20)</f>
        <v>16190</v>
      </c>
      <c r="K21" s="117">
        <f t="shared" ref="K21:Q21" si="8">SUM(K17:K20)</f>
        <v>56779</v>
      </c>
      <c r="L21" s="113">
        <f t="shared" si="8"/>
        <v>20167</v>
      </c>
      <c r="M21" s="113">
        <f>SUM(M17:M20)</f>
        <v>22306</v>
      </c>
      <c r="N21" s="113">
        <f>SUM(N17:N20)</f>
        <v>23755</v>
      </c>
      <c r="O21" s="113">
        <f t="shared" si="8"/>
        <v>24570</v>
      </c>
      <c r="P21" s="117">
        <f t="shared" si="8"/>
        <v>90796</v>
      </c>
      <c r="Q21" s="113">
        <f t="shared" si="8"/>
        <v>23646</v>
      </c>
      <c r="R21" s="113">
        <f t="shared" ref="R21:V21" si="9">SUM(R17:R20)</f>
        <v>23560</v>
      </c>
      <c r="S21" s="113">
        <f t="shared" si="9"/>
        <v>25619</v>
      </c>
      <c r="T21" s="113">
        <f t="shared" si="9"/>
        <v>30675</v>
      </c>
      <c r="U21" s="117">
        <f t="shared" si="9"/>
        <v>103500</v>
      </c>
      <c r="V21" s="113">
        <f t="shared" si="9"/>
        <v>19296</v>
      </c>
      <c r="W21" s="113">
        <f t="shared" ref="W21" si="10">SUM(W17:W20)</f>
        <v>21315</v>
      </c>
    </row>
    <row r="22" spans="1:23" s="2" customFormat="1" ht="15" customHeight="1" thickTop="1" x14ac:dyDescent="0.35">
      <c r="B22" s="15"/>
      <c r="C22" s="15"/>
      <c r="D22" s="15"/>
      <c r="E22" s="15"/>
      <c r="F22" s="22"/>
      <c r="G22" s="15"/>
      <c r="H22" s="15"/>
      <c r="I22" s="15"/>
      <c r="J22" s="15"/>
      <c r="K22" s="22"/>
      <c r="L22" s="15"/>
      <c r="M22" s="15"/>
      <c r="N22" s="15"/>
      <c r="O22" s="15"/>
      <c r="P22" s="22"/>
      <c r="Q22" s="15"/>
      <c r="R22" s="15"/>
      <c r="S22" s="15"/>
      <c r="T22" s="15"/>
      <c r="U22" s="22"/>
      <c r="V22" s="15"/>
      <c r="W22" s="15"/>
    </row>
    <row r="23" spans="1:23" s="2" customFormat="1" ht="14" customHeight="1" x14ac:dyDescent="0.4">
      <c r="A23" s="33" t="s">
        <v>101</v>
      </c>
      <c r="B23" s="15"/>
      <c r="C23" s="15"/>
      <c r="D23" s="15"/>
      <c r="E23" s="15"/>
      <c r="F23" s="22"/>
      <c r="G23" s="15"/>
      <c r="H23" s="15"/>
      <c r="I23" s="15"/>
      <c r="J23" s="15"/>
      <c r="K23" s="22"/>
      <c r="L23" s="15"/>
      <c r="M23" s="15"/>
      <c r="N23" s="15"/>
      <c r="O23" s="15"/>
      <c r="P23" s="22"/>
      <c r="Q23" s="15"/>
      <c r="R23" s="15"/>
      <c r="S23" s="15"/>
      <c r="T23" s="15"/>
      <c r="U23" s="22"/>
      <c r="V23" s="15"/>
      <c r="W23" s="15"/>
    </row>
    <row r="24" spans="1:23" s="2" customFormat="1" ht="14" customHeight="1" x14ac:dyDescent="0.35">
      <c r="A24" s="38" t="s">
        <v>98</v>
      </c>
      <c r="B24" s="65">
        <f>'Reconciliation Adj EBITDA'!B22</f>
        <v>0</v>
      </c>
      <c r="C24" s="65">
        <f>'Reconciliation Adj EBITDA'!C22</f>
        <v>0</v>
      </c>
      <c r="D24" s="65">
        <f>'Reconciliation Adj EBITDA'!D22</f>
        <v>0</v>
      </c>
      <c r="E24" s="65">
        <f>'Reconciliation Adj EBITDA'!E22</f>
        <v>0</v>
      </c>
      <c r="F24" s="76">
        <f>'Reconciliation Adj EBITDA'!F22</f>
        <v>0</v>
      </c>
      <c r="G24" s="65">
        <f>'Reconciliation Adj EBITDA'!G22</f>
        <v>0</v>
      </c>
      <c r="H24" s="65">
        <f>'Reconciliation Adj EBITDA'!H22</f>
        <v>148</v>
      </c>
      <c r="I24" s="65">
        <f>'Reconciliation Adj EBITDA'!I22</f>
        <v>1793</v>
      </c>
      <c r="J24" s="65">
        <f>'Reconciliation Adj EBITDA'!J22</f>
        <v>980</v>
      </c>
      <c r="K24" s="76">
        <f>'Reconciliation Adj EBITDA'!K22</f>
        <v>2921</v>
      </c>
      <c r="L24" s="65">
        <f>'Reconciliation Adj EBITDA'!L22</f>
        <v>6</v>
      </c>
      <c r="M24" s="65">
        <f>'Reconciliation Adj EBITDA'!M22</f>
        <v>0</v>
      </c>
      <c r="N24" s="65">
        <f>'Reconciliation Adj EBITDA'!N22</f>
        <v>0</v>
      </c>
      <c r="O24" s="65">
        <f>'Reconciliation Adj EBITDA'!O22</f>
        <v>0</v>
      </c>
      <c r="P24" s="76">
        <f>'Reconciliation Adj EBITDA'!P22</f>
        <v>6</v>
      </c>
      <c r="Q24" s="65">
        <f>'Reconciliation Adj EBITDA'!Q22</f>
        <v>0</v>
      </c>
      <c r="R24" s="65">
        <f>'Reconciliation Adj EBITDA'!R22</f>
        <v>0</v>
      </c>
      <c r="S24" s="65">
        <f>'Reconciliation Adj EBITDA'!S22</f>
        <v>516</v>
      </c>
      <c r="T24" s="65">
        <f>'Reconciliation Adj EBITDA'!T22</f>
        <v>1222</v>
      </c>
      <c r="U24" s="76">
        <f>'Reconciliation Adj EBITDA'!U22</f>
        <v>1738</v>
      </c>
      <c r="V24" s="65">
        <f>'Reconciliation Adj EBITDA'!V22</f>
        <v>0</v>
      </c>
      <c r="W24" s="65">
        <f>'Reconciliation Adj EBITDA'!W22</f>
        <v>0</v>
      </c>
    </row>
    <row r="25" spans="1:23" s="2" customFormat="1" ht="14" customHeight="1" thickBot="1" x14ac:dyDescent="0.45">
      <c r="A25" s="39" t="s">
        <v>117</v>
      </c>
      <c r="B25" s="113">
        <f t="shared" ref="B25:Q25" si="11">SUM(B24:B24)</f>
        <v>0</v>
      </c>
      <c r="C25" s="113">
        <f t="shared" si="11"/>
        <v>0</v>
      </c>
      <c r="D25" s="113">
        <f t="shared" si="11"/>
        <v>0</v>
      </c>
      <c r="E25" s="113">
        <f t="shared" si="11"/>
        <v>0</v>
      </c>
      <c r="F25" s="117">
        <f t="shared" si="11"/>
        <v>0</v>
      </c>
      <c r="G25" s="113">
        <f t="shared" si="11"/>
        <v>0</v>
      </c>
      <c r="H25" s="113">
        <f t="shared" si="11"/>
        <v>148</v>
      </c>
      <c r="I25" s="113">
        <f t="shared" si="11"/>
        <v>1793</v>
      </c>
      <c r="J25" s="113">
        <f t="shared" si="11"/>
        <v>980</v>
      </c>
      <c r="K25" s="117">
        <f t="shared" si="11"/>
        <v>2921</v>
      </c>
      <c r="L25" s="113">
        <f t="shared" si="11"/>
        <v>6</v>
      </c>
      <c r="M25" s="113">
        <f t="shared" si="11"/>
        <v>0</v>
      </c>
      <c r="N25" s="113">
        <f t="shared" si="11"/>
        <v>0</v>
      </c>
      <c r="O25" s="113">
        <f t="shared" si="11"/>
        <v>0</v>
      </c>
      <c r="P25" s="117">
        <f t="shared" si="11"/>
        <v>6</v>
      </c>
      <c r="Q25" s="113">
        <f t="shared" si="11"/>
        <v>0</v>
      </c>
      <c r="R25" s="113">
        <f t="shared" ref="R25:V25" si="12">SUM(R24:R24)</f>
        <v>0</v>
      </c>
      <c r="S25" s="113">
        <f t="shared" si="12"/>
        <v>516</v>
      </c>
      <c r="T25" s="113">
        <f t="shared" si="12"/>
        <v>1222</v>
      </c>
      <c r="U25" s="117">
        <f t="shared" si="12"/>
        <v>1738</v>
      </c>
      <c r="V25" s="113">
        <f t="shared" si="12"/>
        <v>0</v>
      </c>
      <c r="W25" s="113">
        <f t="shared" ref="W25" si="13">SUM(W24:W24)</f>
        <v>0</v>
      </c>
    </row>
    <row r="26" spans="1:23" s="2" customFormat="1" ht="14" customHeight="1" thickTop="1" x14ac:dyDescent="0.4">
      <c r="A26" s="40"/>
      <c r="B26" s="15"/>
      <c r="C26" s="15"/>
      <c r="D26" s="15"/>
      <c r="E26" s="15"/>
      <c r="F26" s="22"/>
      <c r="G26" s="15"/>
      <c r="H26" s="15"/>
      <c r="I26" s="15"/>
      <c r="J26" s="15"/>
      <c r="K26" s="22"/>
      <c r="L26" s="15"/>
      <c r="M26" s="15"/>
      <c r="N26" s="15"/>
      <c r="O26" s="15"/>
      <c r="P26" s="22"/>
      <c r="Q26" s="15"/>
      <c r="R26" s="15"/>
      <c r="S26" s="15"/>
      <c r="T26" s="15"/>
      <c r="U26" s="22"/>
      <c r="V26" s="15"/>
      <c r="W26" s="15"/>
    </row>
    <row r="27" spans="1:23" s="2" customFormat="1" ht="14" customHeight="1" x14ac:dyDescent="0.4">
      <c r="A27" s="33" t="s">
        <v>102</v>
      </c>
      <c r="B27" s="15"/>
      <c r="C27" s="15"/>
      <c r="D27" s="15"/>
      <c r="E27" s="15"/>
      <c r="F27" s="22"/>
      <c r="G27" s="15"/>
      <c r="H27" s="15"/>
      <c r="I27" s="15"/>
      <c r="J27" s="15"/>
      <c r="K27" s="22"/>
      <c r="L27" s="15"/>
      <c r="M27" s="15"/>
      <c r="N27" s="15"/>
      <c r="O27" s="15"/>
      <c r="P27" s="22"/>
      <c r="Q27" s="15"/>
      <c r="R27" s="15"/>
      <c r="S27" s="15"/>
      <c r="T27" s="15"/>
      <c r="U27" s="22"/>
      <c r="V27" s="15"/>
      <c r="W27" s="15"/>
    </row>
    <row r="28" spans="1:23" s="2" customFormat="1" ht="15" customHeight="1" x14ac:dyDescent="0.35">
      <c r="A28" s="38" t="s">
        <v>96</v>
      </c>
      <c r="B28" s="65">
        <f>'Reconciliation Adj EBITDA'!B24</f>
        <v>109</v>
      </c>
      <c r="C28" s="65">
        <f>'Reconciliation Adj EBITDA'!C24</f>
        <v>115</v>
      </c>
      <c r="D28" s="65">
        <f>'Reconciliation Adj EBITDA'!D24</f>
        <v>54</v>
      </c>
      <c r="E28" s="65">
        <f>'Reconciliation Adj EBITDA'!E24</f>
        <v>46</v>
      </c>
      <c r="F28" s="76">
        <f>'Reconciliation Adj EBITDA'!F24</f>
        <v>324</v>
      </c>
      <c r="G28" s="65">
        <f>'Reconciliation Adj EBITDA'!G24</f>
        <v>40</v>
      </c>
      <c r="H28" s="65">
        <f>'Reconciliation Adj EBITDA'!H24</f>
        <v>44</v>
      </c>
      <c r="I28" s="65">
        <f>'Reconciliation Adj EBITDA'!I24</f>
        <v>3</v>
      </c>
      <c r="J28" s="65">
        <f>'Reconciliation Adj EBITDA'!J24</f>
        <v>-3</v>
      </c>
      <c r="K28" s="76">
        <f>'Reconciliation Adj EBITDA'!K24</f>
        <v>85</v>
      </c>
      <c r="L28" s="65">
        <f>'Reconciliation Adj EBITDA'!L24</f>
        <v>0</v>
      </c>
      <c r="M28" s="65">
        <f>'Reconciliation Adj EBITDA'!M24</f>
        <v>0</v>
      </c>
      <c r="N28" s="65">
        <f>'Reconciliation Adj EBITDA'!N24</f>
        <v>0</v>
      </c>
      <c r="O28" s="65">
        <f>'Reconciliation Adj EBITDA'!O24</f>
        <v>0</v>
      </c>
      <c r="P28" s="76">
        <f>'Reconciliation Adj EBITDA'!P24</f>
        <v>0</v>
      </c>
      <c r="Q28" s="65">
        <f>'Reconciliation Adj EBITDA'!Q24</f>
        <v>0</v>
      </c>
      <c r="R28" s="65">
        <f>'Reconciliation Adj EBITDA'!R24</f>
        <v>0</v>
      </c>
      <c r="S28" s="65">
        <f>'Reconciliation Adj EBITDA'!S24</f>
        <v>0</v>
      </c>
      <c r="T28" s="65">
        <f>'Reconciliation Adj EBITDA'!T24</f>
        <v>0</v>
      </c>
      <c r="U28" s="76">
        <f>'Reconciliation Adj EBITDA'!U24</f>
        <v>0</v>
      </c>
      <c r="V28" s="65">
        <f>'Reconciliation Adj EBITDA'!V24</f>
        <v>0</v>
      </c>
      <c r="W28" s="65">
        <f>'Reconciliation Adj EBITDA'!W24</f>
        <v>0</v>
      </c>
    </row>
    <row r="29" spans="1:23" s="2" customFormat="1" ht="15" customHeight="1" x14ac:dyDescent="0.35">
      <c r="A29" s="38" t="s">
        <v>98</v>
      </c>
      <c r="B29" s="65">
        <f>'Reconciliation Adj EBITDA'!B25</f>
        <v>0</v>
      </c>
      <c r="C29" s="65">
        <f>'Reconciliation Adj EBITDA'!C25</f>
        <v>0</v>
      </c>
      <c r="D29" s="65">
        <f>'Reconciliation Adj EBITDA'!D25</f>
        <v>0</v>
      </c>
      <c r="E29" s="65">
        <f>'Reconciliation Adj EBITDA'!E25</f>
        <v>-2218</v>
      </c>
      <c r="F29" s="76">
        <f>'Reconciliation Adj EBITDA'!F25</f>
        <v>-2218</v>
      </c>
      <c r="G29" s="65">
        <f>'Reconciliation Adj EBITDA'!G25</f>
        <v>0</v>
      </c>
      <c r="H29" s="65">
        <f>'Reconciliation Adj EBITDA'!H25</f>
        <v>0</v>
      </c>
      <c r="I29" s="65">
        <f>'Reconciliation Adj EBITDA'!I25</f>
        <v>0</v>
      </c>
      <c r="J29" s="65">
        <f>'Reconciliation Adj EBITDA'!J25</f>
        <v>0</v>
      </c>
      <c r="K29" s="76">
        <f>'Reconciliation Adj EBITDA'!K25</f>
        <v>0</v>
      </c>
      <c r="L29" s="65">
        <f>'Reconciliation Adj EBITDA'!L25</f>
        <v>0</v>
      </c>
      <c r="M29" s="65">
        <f>'Reconciliation Adj EBITDA'!M25</f>
        <v>0</v>
      </c>
      <c r="N29" s="65">
        <f>'Reconciliation Adj EBITDA'!N25</f>
        <v>0</v>
      </c>
      <c r="O29" s="65">
        <f>'Reconciliation Adj EBITDA'!O25</f>
        <v>0</v>
      </c>
      <c r="P29" s="76">
        <f>'Reconciliation Adj EBITDA'!P25</f>
        <v>0</v>
      </c>
      <c r="Q29" s="65">
        <f>'Reconciliation Adj EBITDA'!Q25</f>
        <v>0</v>
      </c>
      <c r="R29" s="65">
        <f>'Reconciliation Adj EBITDA'!R25</f>
        <v>0</v>
      </c>
      <c r="S29" s="65">
        <f>'Reconciliation Adj EBITDA'!S25</f>
        <v>0</v>
      </c>
      <c r="T29" s="65">
        <f>'Reconciliation Adj EBITDA'!T25</f>
        <v>0</v>
      </c>
      <c r="U29" s="76">
        <f>'Reconciliation Adj EBITDA'!U25</f>
        <v>0</v>
      </c>
      <c r="V29" s="65">
        <f>'Reconciliation Adj EBITDA'!V25</f>
        <v>0</v>
      </c>
      <c r="W29" s="65">
        <f>'Reconciliation Adj EBITDA'!W25</f>
        <v>0</v>
      </c>
    </row>
    <row r="30" spans="1:23" s="2" customFormat="1" ht="14" customHeight="1" thickBot="1" x14ac:dyDescent="0.45">
      <c r="A30" s="39" t="s">
        <v>118</v>
      </c>
      <c r="B30" s="113">
        <f t="shared" ref="B30:Q30" si="14">SUM(B28:B29)</f>
        <v>109</v>
      </c>
      <c r="C30" s="113">
        <f t="shared" si="14"/>
        <v>115</v>
      </c>
      <c r="D30" s="113">
        <f t="shared" si="14"/>
        <v>54</v>
      </c>
      <c r="E30" s="113">
        <f t="shared" si="14"/>
        <v>-2172</v>
      </c>
      <c r="F30" s="117">
        <f t="shared" si="14"/>
        <v>-1894</v>
      </c>
      <c r="G30" s="113">
        <f t="shared" si="14"/>
        <v>40</v>
      </c>
      <c r="H30" s="113">
        <f t="shared" si="14"/>
        <v>44</v>
      </c>
      <c r="I30" s="113">
        <f t="shared" si="14"/>
        <v>3</v>
      </c>
      <c r="J30" s="113">
        <f t="shared" si="14"/>
        <v>-3</v>
      </c>
      <c r="K30" s="117">
        <f t="shared" si="14"/>
        <v>85</v>
      </c>
      <c r="L30" s="113">
        <f t="shared" si="14"/>
        <v>0</v>
      </c>
      <c r="M30" s="113">
        <f t="shared" si="14"/>
        <v>0</v>
      </c>
      <c r="N30" s="113">
        <f t="shared" si="14"/>
        <v>0</v>
      </c>
      <c r="O30" s="113">
        <f t="shared" si="14"/>
        <v>0</v>
      </c>
      <c r="P30" s="117">
        <f t="shared" si="14"/>
        <v>0</v>
      </c>
      <c r="Q30" s="113">
        <f t="shared" si="14"/>
        <v>0</v>
      </c>
      <c r="R30" s="113">
        <f t="shared" ref="R30:V30" si="15">SUM(R28:R29)</f>
        <v>0</v>
      </c>
      <c r="S30" s="113">
        <f t="shared" si="15"/>
        <v>0</v>
      </c>
      <c r="T30" s="113">
        <f t="shared" si="15"/>
        <v>0</v>
      </c>
      <c r="U30" s="117">
        <f t="shared" si="15"/>
        <v>0</v>
      </c>
      <c r="V30" s="113">
        <f t="shared" si="15"/>
        <v>0</v>
      </c>
      <c r="W30" s="113">
        <f t="shared" ref="W30" si="16">SUM(W28:W29)</f>
        <v>0</v>
      </c>
    </row>
    <row r="31" spans="1:23" s="2" customFormat="1" ht="15" customHeight="1" thickTop="1" x14ac:dyDescent="0.35">
      <c r="B31" s="15"/>
      <c r="C31" s="15"/>
      <c r="D31" s="15"/>
      <c r="E31" s="15"/>
      <c r="F31" s="22"/>
      <c r="G31" s="15"/>
      <c r="H31" s="15"/>
      <c r="I31" s="15"/>
      <c r="J31" s="15"/>
      <c r="K31" s="22"/>
      <c r="L31" s="15"/>
      <c r="M31" s="15"/>
      <c r="N31" s="15"/>
      <c r="O31" s="15"/>
      <c r="P31" s="22"/>
      <c r="Q31" s="15"/>
      <c r="R31" s="15"/>
      <c r="S31" s="15"/>
      <c r="T31" s="15"/>
      <c r="U31" s="22"/>
      <c r="V31" s="15"/>
      <c r="W31" s="15"/>
    </row>
    <row r="32" spans="1:23" s="2" customFormat="1" ht="15" customHeight="1" x14ac:dyDescent="0.4">
      <c r="A32" s="33" t="s">
        <v>107</v>
      </c>
      <c r="B32" s="15"/>
      <c r="C32" s="15"/>
      <c r="D32" s="15"/>
      <c r="E32" s="15"/>
      <c r="F32" s="22"/>
      <c r="G32" s="15"/>
      <c r="H32" s="15"/>
      <c r="I32" s="15"/>
      <c r="J32" s="15"/>
      <c r="K32" s="22"/>
      <c r="L32" s="15"/>
      <c r="M32" s="15"/>
      <c r="N32" s="15"/>
      <c r="O32" s="15"/>
      <c r="P32" s="22"/>
      <c r="Q32" s="15"/>
      <c r="R32" s="15"/>
      <c r="S32" s="15"/>
      <c r="T32" s="15"/>
      <c r="U32" s="22"/>
      <c r="V32" s="15"/>
      <c r="W32" s="15"/>
    </row>
    <row r="33" spans="1:23" s="2" customFormat="1" ht="15" customHeight="1" x14ac:dyDescent="0.35">
      <c r="A33" s="38" t="s">
        <v>43</v>
      </c>
      <c r="B33" s="65">
        <f>'Reconciliation Adj EBITDA'!B27</f>
        <v>0</v>
      </c>
      <c r="C33" s="65">
        <f>'Reconciliation Adj EBITDA'!C27</f>
        <v>0</v>
      </c>
      <c r="D33" s="65">
        <f>'Reconciliation Adj EBITDA'!D27</f>
        <v>0</v>
      </c>
      <c r="E33" s="65">
        <f>'Reconciliation Adj EBITDA'!E27</f>
        <v>0</v>
      </c>
      <c r="F33" s="76">
        <f>'Reconciliation Adj EBITDA'!F27</f>
        <v>0</v>
      </c>
      <c r="G33" s="65">
        <f>'Reconciliation Adj EBITDA'!G27</f>
        <v>0</v>
      </c>
      <c r="H33" s="65">
        <f>'Reconciliation Adj EBITDA'!H27</f>
        <v>0</v>
      </c>
      <c r="I33" s="65">
        <f>'Reconciliation Adj EBITDA'!I27</f>
        <v>0</v>
      </c>
      <c r="J33" s="65">
        <f>'Reconciliation Adj EBITDA'!J27</f>
        <v>0</v>
      </c>
      <c r="K33" s="76">
        <f>'Reconciliation Adj EBITDA'!K27</f>
        <v>0</v>
      </c>
      <c r="L33" s="65">
        <f>'Reconciliation Adj EBITDA'!L27</f>
        <v>0</v>
      </c>
      <c r="M33" s="65">
        <f>'Reconciliation Adj EBITDA'!M27</f>
        <v>2497</v>
      </c>
      <c r="N33" s="65">
        <f>'Reconciliation Adj EBITDA'!N27</f>
        <v>0</v>
      </c>
      <c r="O33" s="65">
        <f>'Reconciliation Adj EBITDA'!O27</f>
        <v>0</v>
      </c>
      <c r="P33" s="76">
        <f>'Reconciliation Adj EBITDA'!P27</f>
        <v>2497</v>
      </c>
      <c r="Q33" s="65">
        <f>'Reconciliation Adj EBITDA'!Q27</f>
        <v>0</v>
      </c>
      <c r="R33" s="65">
        <f>'Reconciliation Adj EBITDA'!R27</f>
        <v>0</v>
      </c>
      <c r="S33" s="65">
        <f>'Reconciliation Adj EBITDA'!S27</f>
        <v>0</v>
      </c>
      <c r="T33" s="65">
        <f>'Reconciliation Adj EBITDA'!T27</f>
        <v>0</v>
      </c>
      <c r="U33" s="76">
        <f>'Reconciliation Adj EBITDA'!U27</f>
        <v>0</v>
      </c>
      <c r="V33" s="65">
        <f>'Reconciliation Adj EBITDA'!V27</f>
        <v>0</v>
      </c>
      <c r="W33" s="65">
        <f>'Reconciliation Adj EBITDA'!W27</f>
        <v>0</v>
      </c>
    </row>
    <row r="34" spans="1:23" s="2" customFormat="1" ht="15" customHeight="1" x14ac:dyDescent="0.35">
      <c r="A34" s="38" t="s">
        <v>96</v>
      </c>
      <c r="B34" s="65">
        <f>'Reconciliation Adj EBITDA'!B28</f>
        <v>0</v>
      </c>
      <c r="C34" s="65">
        <f>'Reconciliation Adj EBITDA'!C28</f>
        <v>0</v>
      </c>
      <c r="D34" s="65">
        <f>'Reconciliation Adj EBITDA'!D28</f>
        <v>0</v>
      </c>
      <c r="E34" s="65">
        <f>'Reconciliation Adj EBITDA'!E28</f>
        <v>0</v>
      </c>
      <c r="F34" s="76">
        <f>'Reconciliation Adj EBITDA'!F28</f>
        <v>0</v>
      </c>
      <c r="G34" s="65">
        <f>'Reconciliation Adj EBITDA'!G28</f>
        <v>0</v>
      </c>
      <c r="H34" s="65">
        <f>'Reconciliation Adj EBITDA'!H28</f>
        <v>0</v>
      </c>
      <c r="I34" s="65">
        <f>'Reconciliation Adj EBITDA'!I28</f>
        <v>0</v>
      </c>
      <c r="J34" s="65">
        <f>'Reconciliation Adj EBITDA'!J28</f>
        <v>0</v>
      </c>
      <c r="K34" s="76">
        <f>'Reconciliation Adj EBITDA'!K28</f>
        <v>0</v>
      </c>
      <c r="L34" s="65">
        <f>'Reconciliation Adj EBITDA'!L28</f>
        <v>0</v>
      </c>
      <c r="M34" s="65">
        <f>'Reconciliation Adj EBITDA'!M28</f>
        <v>0</v>
      </c>
      <c r="N34" s="65">
        <f>'Reconciliation Adj EBITDA'!N28</f>
        <v>0</v>
      </c>
      <c r="O34" s="65">
        <f>'Reconciliation Adj EBITDA'!O28</f>
        <v>2911</v>
      </c>
      <c r="P34" s="76">
        <f>'Reconciliation Adj EBITDA'!P28</f>
        <v>2911</v>
      </c>
      <c r="Q34" s="65">
        <f>'Reconciliation Adj EBITDA'!Q28</f>
        <v>-348</v>
      </c>
      <c r="R34" s="65">
        <f>'Reconciliation Adj EBITDA'!R28</f>
        <v>16</v>
      </c>
      <c r="S34" s="65">
        <f>'Reconciliation Adj EBITDA'!S28</f>
        <v>0</v>
      </c>
      <c r="T34" s="65">
        <f>'Reconciliation Adj EBITDA'!T28</f>
        <v>0</v>
      </c>
      <c r="U34" s="76">
        <f>'Reconciliation Adj EBITDA'!U28</f>
        <v>-332</v>
      </c>
      <c r="V34" s="65">
        <f>'Reconciliation Adj EBITDA'!V28</f>
        <v>0</v>
      </c>
      <c r="W34" s="65">
        <f>'Reconciliation Adj EBITDA'!W28</f>
        <v>124</v>
      </c>
    </row>
    <row r="35" spans="1:23" s="2" customFormat="1" ht="15" customHeight="1" x14ac:dyDescent="0.35">
      <c r="A35" s="38" t="s">
        <v>97</v>
      </c>
      <c r="B35" s="65">
        <f>'Reconciliation Adj EBITDA'!B29</f>
        <v>0</v>
      </c>
      <c r="C35" s="65">
        <f>'Reconciliation Adj EBITDA'!C29</f>
        <v>0</v>
      </c>
      <c r="D35" s="65">
        <f>'Reconciliation Adj EBITDA'!D29</f>
        <v>0</v>
      </c>
      <c r="E35" s="65">
        <f>'Reconciliation Adj EBITDA'!E29</f>
        <v>0</v>
      </c>
      <c r="F35" s="76">
        <f>'Reconciliation Adj EBITDA'!F29</f>
        <v>0</v>
      </c>
      <c r="G35" s="65">
        <f>'Reconciliation Adj EBITDA'!G29</f>
        <v>0</v>
      </c>
      <c r="H35" s="65">
        <f>'Reconciliation Adj EBITDA'!H29</f>
        <v>0</v>
      </c>
      <c r="I35" s="65">
        <f>'Reconciliation Adj EBITDA'!I29</f>
        <v>0</v>
      </c>
      <c r="J35" s="65">
        <f>'Reconciliation Adj EBITDA'!J29</f>
        <v>0</v>
      </c>
      <c r="K35" s="76">
        <f>'Reconciliation Adj EBITDA'!K29</f>
        <v>0</v>
      </c>
      <c r="L35" s="65">
        <f>'Reconciliation Adj EBITDA'!L29</f>
        <v>0</v>
      </c>
      <c r="M35" s="65">
        <f>'Reconciliation Adj EBITDA'!M29</f>
        <v>690</v>
      </c>
      <c r="N35" s="65">
        <f>'Reconciliation Adj EBITDA'!N29</f>
        <v>0</v>
      </c>
      <c r="O35" s="65">
        <f>'Reconciliation Adj EBITDA'!O29</f>
        <v>1135</v>
      </c>
      <c r="P35" s="76">
        <f>'Reconciliation Adj EBITDA'!P29</f>
        <v>1825</v>
      </c>
      <c r="Q35" s="65">
        <f>'Reconciliation Adj EBITDA'!Q29</f>
        <v>107</v>
      </c>
      <c r="R35" s="65">
        <f>'Reconciliation Adj EBITDA'!R29</f>
        <v>183</v>
      </c>
      <c r="S35" s="65">
        <f>'Reconciliation Adj EBITDA'!S29</f>
        <v>0</v>
      </c>
      <c r="T35" s="65">
        <f>'Reconciliation Adj EBITDA'!T29</f>
        <v>0</v>
      </c>
      <c r="U35" s="76">
        <f>'Reconciliation Adj EBITDA'!U29</f>
        <v>290</v>
      </c>
      <c r="V35" s="65">
        <f>'Reconciliation Adj EBITDA'!V29</f>
        <v>1890</v>
      </c>
      <c r="W35" s="65">
        <f>'Reconciliation Adj EBITDA'!W29</f>
        <v>175</v>
      </c>
    </row>
    <row r="36" spans="1:23" s="2" customFormat="1" ht="15" customHeight="1" x14ac:dyDescent="0.35">
      <c r="A36" s="38" t="s">
        <v>98</v>
      </c>
      <c r="B36" s="96">
        <f>'Reconciliation Adj EBITDA'!B30</f>
        <v>0</v>
      </c>
      <c r="C36" s="96">
        <f>'Reconciliation Adj EBITDA'!C30</f>
        <v>0</v>
      </c>
      <c r="D36" s="96">
        <f>'Reconciliation Adj EBITDA'!D30</f>
        <v>0</v>
      </c>
      <c r="E36" s="96">
        <f>'Reconciliation Adj EBITDA'!E30</f>
        <v>0</v>
      </c>
      <c r="F36" s="94">
        <f>'Reconciliation Adj EBITDA'!F30</f>
        <v>0</v>
      </c>
      <c r="G36" s="96">
        <f>'Reconciliation Adj EBITDA'!G30</f>
        <v>0</v>
      </c>
      <c r="H36" s="96">
        <f>'Reconciliation Adj EBITDA'!H30</f>
        <v>0</v>
      </c>
      <c r="I36" s="96">
        <f>'Reconciliation Adj EBITDA'!I30</f>
        <v>0</v>
      </c>
      <c r="J36" s="96">
        <f>'Reconciliation Adj EBITDA'!J30</f>
        <v>0</v>
      </c>
      <c r="K36" s="94">
        <f>'Reconciliation Adj EBITDA'!K30</f>
        <v>0</v>
      </c>
      <c r="L36" s="96">
        <f>'Reconciliation Adj EBITDA'!L30</f>
        <v>0</v>
      </c>
      <c r="M36" s="120">
        <f>'Reconciliation Adj EBITDA'!M30</f>
        <v>112</v>
      </c>
      <c r="N36" s="120">
        <f>'Reconciliation Adj EBITDA'!N30</f>
        <v>0</v>
      </c>
      <c r="O36" s="120">
        <f>'Reconciliation Adj EBITDA'!O30</f>
        <v>11</v>
      </c>
      <c r="P36" s="121">
        <f>'Reconciliation Adj EBITDA'!P30</f>
        <v>123</v>
      </c>
      <c r="Q36" s="65">
        <f>'Reconciliation Adj EBITDA'!Q30</f>
        <v>-11</v>
      </c>
      <c r="R36" s="65">
        <f>'Reconciliation Adj EBITDA'!R30</f>
        <v>0</v>
      </c>
      <c r="S36" s="65">
        <f>'Reconciliation Adj EBITDA'!S30</f>
        <v>0</v>
      </c>
      <c r="T36" s="120">
        <f>'Reconciliation Adj EBITDA'!T30</f>
        <v>0</v>
      </c>
      <c r="U36" s="121">
        <f>'Reconciliation Adj EBITDA'!U30</f>
        <v>-11</v>
      </c>
      <c r="V36" s="65">
        <f>'Reconciliation Adj EBITDA'!V30</f>
        <v>0</v>
      </c>
      <c r="W36" s="65">
        <f>'Reconciliation Adj EBITDA'!W30</f>
        <v>429</v>
      </c>
    </row>
    <row r="37" spans="1:23" s="2" customFormat="1" ht="15" customHeight="1" thickBot="1" x14ac:dyDescent="0.45">
      <c r="A37" s="39" t="s">
        <v>119</v>
      </c>
      <c r="B37" s="143">
        <f t="shared" ref="B37:F37" si="17">SUM(B33:B36)</f>
        <v>0</v>
      </c>
      <c r="C37" s="143">
        <f t="shared" si="17"/>
        <v>0</v>
      </c>
      <c r="D37" s="143">
        <f t="shared" si="17"/>
        <v>0</v>
      </c>
      <c r="E37" s="143">
        <f t="shared" si="17"/>
        <v>0</v>
      </c>
      <c r="F37" s="144">
        <f t="shared" si="17"/>
        <v>0</v>
      </c>
      <c r="G37" s="143">
        <f>SUM(G33:G36)</f>
        <v>0</v>
      </c>
      <c r="H37" s="143">
        <f>SUM(H33:H36)</f>
        <v>0</v>
      </c>
      <c r="I37" s="143">
        <f>SUM(I33:I36)</f>
        <v>0</v>
      </c>
      <c r="J37" s="143">
        <f t="shared" ref="J37:P37" si="18">SUM(J33:J36)</f>
        <v>0</v>
      </c>
      <c r="K37" s="144">
        <f t="shared" si="18"/>
        <v>0</v>
      </c>
      <c r="L37" s="143">
        <f t="shared" si="18"/>
        <v>0</v>
      </c>
      <c r="M37" s="143">
        <f>SUM(M33:M36)</f>
        <v>3299</v>
      </c>
      <c r="N37" s="143">
        <f>SUM(N33:N36)</f>
        <v>0</v>
      </c>
      <c r="O37" s="143">
        <f t="shared" si="18"/>
        <v>4057</v>
      </c>
      <c r="P37" s="144">
        <f t="shared" si="18"/>
        <v>7356</v>
      </c>
      <c r="Q37" s="143">
        <f>SUM(Q33:Q36)</f>
        <v>-252</v>
      </c>
      <c r="R37" s="143">
        <f>SUM(R33:R36)</f>
        <v>199</v>
      </c>
      <c r="S37" s="143">
        <f>SUM(S33:S36)</f>
        <v>0</v>
      </c>
      <c r="T37" s="143">
        <f t="shared" ref="T37:U37" si="19">SUM(T33:T36)</f>
        <v>0</v>
      </c>
      <c r="U37" s="144">
        <f t="shared" si="19"/>
        <v>-53</v>
      </c>
      <c r="V37" s="143">
        <f>SUM(V33:V36)</f>
        <v>1890</v>
      </c>
      <c r="W37" s="143">
        <f>SUM(W33:W36)</f>
        <v>728</v>
      </c>
    </row>
    <row r="38" spans="1:23" s="2" customFormat="1" ht="15" customHeight="1" thickTop="1" x14ac:dyDescent="0.35">
      <c r="F38" s="22"/>
      <c r="K38" s="22"/>
      <c r="P38" s="22"/>
      <c r="R38" s="56"/>
      <c r="S38" s="56"/>
      <c r="T38" s="56"/>
      <c r="U38" s="22"/>
      <c r="V38" s="56"/>
      <c r="W38" s="56"/>
    </row>
    <row r="39" spans="1:23" ht="15" customHeight="1" x14ac:dyDescent="0.35"/>
    <row r="40" spans="1:23" ht="15" customHeight="1" x14ac:dyDescent="0.35"/>
    <row r="41" spans="1:23" ht="15" customHeight="1" x14ac:dyDescent="0.35"/>
    <row r="42" spans="1:23" ht="15" customHeight="1" x14ac:dyDescent="0.35"/>
    <row r="43" spans="1:23" ht="15" customHeight="1" x14ac:dyDescent="0.35"/>
    <row r="44" spans="1:23" ht="15" customHeight="1" x14ac:dyDescent="0.35"/>
    <row r="45" spans="1:23" ht="15" customHeight="1" x14ac:dyDescent="0.35"/>
    <row r="46" spans="1:23" ht="15" customHeight="1" x14ac:dyDescent="0.35"/>
    <row r="47" spans="1:23" ht="15" customHeight="1" x14ac:dyDescent="0.35"/>
    <row r="48" spans="1:23"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sheetData>
  <pageMargins left="0.7" right="0.7" top="0.75" bottom="0.75" header="0.3" footer="0.3"/>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83"/>
  <sheetViews>
    <sheetView showGridLines="0" zoomScale="70" zoomScaleNormal="70" workbookViewId="0"/>
  </sheetViews>
  <sheetFormatPr defaultColWidth="12.640625" defaultRowHeight="12.75" x14ac:dyDescent="0.35"/>
  <cols>
    <col min="1" max="1" width="47.5703125" style="15" customWidth="1"/>
    <col min="2" max="16384" width="12.640625" style="15"/>
  </cols>
  <sheetData>
    <row r="1" spans="1:23" ht="13.15" x14ac:dyDescent="0.4">
      <c r="A1" s="23" t="s">
        <v>177</v>
      </c>
    </row>
    <row r="2" spans="1:23" x14ac:dyDescent="0.35">
      <c r="A2" s="16" t="s">
        <v>178</v>
      </c>
    </row>
    <row r="3" spans="1:23" s="2" customFormat="1" ht="15" customHeight="1" x14ac:dyDescent="0.4">
      <c r="B3" s="13" t="s">
        <v>159</v>
      </c>
      <c r="C3" s="13" t="s">
        <v>162</v>
      </c>
      <c r="D3" s="13" t="s">
        <v>161</v>
      </c>
      <c r="E3" s="13" t="s">
        <v>160</v>
      </c>
      <c r="F3" s="20" t="s">
        <v>158</v>
      </c>
      <c r="G3" s="13" t="s">
        <v>157</v>
      </c>
      <c r="H3" s="13" t="s">
        <v>156</v>
      </c>
      <c r="I3" s="13" t="s">
        <v>155</v>
      </c>
      <c r="J3" s="13" t="s">
        <v>151</v>
      </c>
      <c r="K3" s="20" t="s">
        <v>150</v>
      </c>
      <c r="L3" s="13" t="s">
        <v>147</v>
      </c>
      <c r="M3" s="13" t="s">
        <v>153</v>
      </c>
      <c r="N3" s="13" t="s">
        <v>154</v>
      </c>
      <c r="O3" s="13" t="s">
        <v>152</v>
      </c>
      <c r="P3" s="20" t="s">
        <v>149</v>
      </c>
      <c r="Q3" s="13" t="s">
        <v>146</v>
      </c>
      <c r="R3" s="13" t="s">
        <v>213</v>
      </c>
      <c r="S3" s="13" t="s">
        <v>216</v>
      </c>
      <c r="T3" s="13" t="s">
        <v>152</v>
      </c>
      <c r="U3" s="20" t="s">
        <v>149</v>
      </c>
      <c r="V3" s="13" t="s">
        <v>227</v>
      </c>
      <c r="W3" s="13" t="s">
        <v>235</v>
      </c>
    </row>
    <row r="4" spans="1:23" s="2" customFormat="1" ht="15" customHeight="1" x14ac:dyDescent="0.35">
      <c r="F4" s="22"/>
      <c r="K4" s="22"/>
      <c r="P4" s="22"/>
      <c r="R4" s="56"/>
      <c r="S4" s="56"/>
      <c r="T4" s="56"/>
      <c r="U4" s="22"/>
      <c r="V4" s="56"/>
      <c r="W4" s="56"/>
    </row>
    <row r="5" spans="1:23" s="2" customFormat="1" ht="15" customHeight="1" x14ac:dyDescent="0.4">
      <c r="A5" s="1" t="s">
        <v>63</v>
      </c>
      <c r="B5" s="125">
        <f>'P&amp;L'!B22</f>
        <v>13617</v>
      </c>
      <c r="C5" s="125">
        <f>'P&amp;L'!C22</f>
        <v>3929</v>
      </c>
      <c r="D5" s="125">
        <f>'P&amp;L'!D22</f>
        <v>5793</v>
      </c>
      <c r="E5" s="125">
        <f>'P&amp;L'!E22</f>
        <v>38938</v>
      </c>
      <c r="F5" s="122">
        <f>'P&amp;L'!F22</f>
        <v>62276</v>
      </c>
      <c r="G5" s="125">
        <f>'P&amp;L'!G22</f>
        <v>18527</v>
      </c>
      <c r="H5" s="125">
        <f>'P&amp;L'!H22</f>
        <v>13339</v>
      </c>
      <c r="I5" s="125">
        <f>'P&amp;L'!I22</f>
        <v>14724</v>
      </c>
      <c r="J5" s="125">
        <f>'P&amp;L'!J22</f>
        <v>40740</v>
      </c>
      <c r="K5" s="122">
        <f>'P&amp;L'!K22</f>
        <v>87329</v>
      </c>
      <c r="L5" s="125">
        <f>'P&amp;L'!L22</f>
        <v>14518</v>
      </c>
      <c r="M5" s="125">
        <f>'P&amp;L'!M22</f>
        <v>7505</v>
      </c>
      <c r="N5" s="125">
        <f>'P&amp;L'!N22</f>
        <v>22269</v>
      </c>
      <c r="O5" s="125">
        <f>'P&amp;L'!O22</f>
        <v>52368</v>
      </c>
      <c r="P5" s="122">
        <f>'P&amp;L'!P22</f>
        <v>96659</v>
      </c>
      <c r="Q5" s="125">
        <f>'P&amp;L'!Q22</f>
        <v>21090</v>
      </c>
      <c r="R5" s="125">
        <f>'P&amp;L'!R22</f>
        <v>14707</v>
      </c>
      <c r="S5" s="125">
        <f>'P&amp;L'!S22</f>
        <v>17948</v>
      </c>
      <c r="T5" s="125">
        <f>'P&amp;L'!T22</f>
        <v>42134</v>
      </c>
      <c r="U5" s="122">
        <f>'P&amp;L'!U22</f>
        <v>95879</v>
      </c>
      <c r="V5" s="125">
        <f>'P&amp;L'!V22</f>
        <v>21401</v>
      </c>
      <c r="W5" s="125">
        <f>'P&amp;L'!W22</f>
        <v>12537</v>
      </c>
    </row>
    <row r="6" spans="1:23" s="2" customFormat="1" ht="15" customHeight="1" x14ac:dyDescent="0.35">
      <c r="A6" s="2" t="s">
        <v>93</v>
      </c>
      <c r="B6" s="15"/>
      <c r="C6" s="15"/>
      <c r="D6" s="15"/>
      <c r="E6" s="15"/>
      <c r="F6" s="22"/>
      <c r="G6" s="15"/>
      <c r="H6" s="15"/>
      <c r="I6" s="15"/>
      <c r="J6" s="15"/>
      <c r="K6" s="22"/>
      <c r="L6" s="15"/>
      <c r="M6" s="15"/>
      <c r="N6" s="15"/>
      <c r="O6" s="15"/>
      <c r="P6" s="22"/>
      <c r="Q6" s="15"/>
      <c r="R6" s="15"/>
      <c r="S6" s="15"/>
      <c r="T6" s="15"/>
      <c r="U6" s="22"/>
      <c r="V6" s="15"/>
      <c r="W6" s="15"/>
    </row>
    <row r="7" spans="1:23" s="2" customFormat="1" ht="15" customHeight="1" x14ac:dyDescent="0.35">
      <c r="A7" s="2" t="s">
        <v>95</v>
      </c>
      <c r="B7" s="114">
        <f>'Reconciliation Adj EBITDA'!B8</f>
        <v>6317</v>
      </c>
      <c r="C7" s="114">
        <f>'Reconciliation Adj EBITDA'!C8</f>
        <v>5325</v>
      </c>
      <c r="D7" s="114">
        <f>'Reconciliation Adj EBITDA'!D8</f>
        <v>4600</v>
      </c>
      <c r="E7" s="114">
        <f>'Reconciliation Adj EBITDA'!E8</f>
        <v>7748</v>
      </c>
      <c r="F7" s="118">
        <f>'Reconciliation Adj EBITDA'!F8</f>
        <v>23989</v>
      </c>
      <c r="G7" s="114">
        <f>'Reconciliation Adj EBITDA'!G8</f>
        <v>8370</v>
      </c>
      <c r="H7" s="114">
        <f>'Reconciliation Adj EBITDA'!H8</f>
        <v>7695</v>
      </c>
      <c r="I7" s="114">
        <f>'Reconciliation Adj EBITDA'!I8</f>
        <v>13965</v>
      </c>
      <c r="J7" s="114">
        <f>'Reconciliation Adj EBITDA'!J8</f>
        <v>13229</v>
      </c>
      <c r="K7" s="118">
        <f>'Reconciliation Adj EBITDA'!K8</f>
        <v>43259</v>
      </c>
      <c r="L7" s="114">
        <f>'Reconciliation Adj EBITDA'!L8</f>
        <v>14940</v>
      </c>
      <c r="M7" s="114">
        <f>'Reconciliation Adj EBITDA'!M8</f>
        <v>14918</v>
      </c>
      <c r="N7" s="114">
        <f>'Reconciliation Adj EBITDA'!N8</f>
        <v>22028</v>
      </c>
      <c r="O7" s="114">
        <f>'Reconciliation Adj EBITDA'!O8</f>
        <v>20464</v>
      </c>
      <c r="P7" s="118">
        <f>'Reconciliation Adj EBITDA'!P8</f>
        <v>72351</v>
      </c>
      <c r="Q7" s="114">
        <f>'Reconciliation Adj EBITDA'!Q8</f>
        <v>19303</v>
      </c>
      <c r="R7" s="114">
        <f>'Reconciliation Adj EBITDA'!R8</f>
        <v>20245</v>
      </c>
      <c r="S7" s="114">
        <f>'Reconciliation Adj EBITDA'!S8</f>
        <v>17261</v>
      </c>
      <c r="T7" s="114">
        <f>'Reconciliation Adj EBITDA'!T8</f>
        <v>10267</v>
      </c>
      <c r="U7" s="118">
        <f>'Reconciliation Adj EBITDA'!U8</f>
        <v>67076</v>
      </c>
      <c r="V7" s="114">
        <f>'Reconciliation Adj EBITDA'!V8</f>
        <v>13882</v>
      </c>
      <c r="W7" s="114">
        <f>'Reconciliation Adj EBITDA'!W8</f>
        <v>14391</v>
      </c>
    </row>
    <row r="8" spans="1:23" s="2" customFormat="1" ht="15" customHeight="1" x14ac:dyDescent="0.35">
      <c r="A8" s="2" t="s">
        <v>120</v>
      </c>
      <c r="B8" s="66">
        <v>920</v>
      </c>
      <c r="C8" s="66">
        <v>1674</v>
      </c>
      <c r="D8" s="66">
        <v>1200</v>
      </c>
      <c r="E8" s="66">
        <v>2548</v>
      </c>
      <c r="F8" s="77">
        <v>6342</v>
      </c>
      <c r="G8" s="66">
        <v>1377</v>
      </c>
      <c r="H8" s="66">
        <v>825</v>
      </c>
      <c r="I8" s="66">
        <v>943</v>
      </c>
      <c r="J8" s="66">
        <v>986</v>
      </c>
      <c r="K8" s="77">
        <v>4131</v>
      </c>
      <c r="L8" s="66">
        <v>4674</v>
      </c>
      <c r="M8" s="66">
        <v>4777</v>
      </c>
      <c r="N8" s="66">
        <v>4428</v>
      </c>
      <c r="O8" s="66">
        <v>3852</v>
      </c>
      <c r="P8" s="77">
        <v>17731</v>
      </c>
      <c r="Q8" s="66">
        <v>3457</v>
      </c>
      <c r="R8" s="66">
        <v>3448</v>
      </c>
      <c r="S8" s="66">
        <v>3920</v>
      </c>
      <c r="T8" s="66">
        <v>4996</v>
      </c>
      <c r="U8" s="77">
        <v>15821</v>
      </c>
      <c r="V8" s="66">
        <v>5472</v>
      </c>
      <c r="W8" s="66">
        <v>5465</v>
      </c>
    </row>
    <row r="9" spans="1:23" s="2" customFormat="1" ht="15" customHeight="1" x14ac:dyDescent="0.35">
      <c r="A9" s="2" t="s">
        <v>101</v>
      </c>
      <c r="B9" s="114">
        <f>'Reconciliation Adj EBITDA'!B21</f>
        <v>0</v>
      </c>
      <c r="C9" s="114">
        <f>'Reconciliation Adj EBITDA'!C21</f>
        <v>0</v>
      </c>
      <c r="D9" s="114">
        <f>'Reconciliation Adj EBITDA'!D21</f>
        <v>0</v>
      </c>
      <c r="E9" s="114">
        <f>'Reconciliation Adj EBITDA'!E21</f>
        <v>0</v>
      </c>
      <c r="F9" s="118">
        <f>'Reconciliation Adj EBITDA'!F21</f>
        <v>0</v>
      </c>
      <c r="G9" s="114">
        <f>'Reconciliation Adj EBITDA'!G21</f>
        <v>0</v>
      </c>
      <c r="H9" s="114">
        <f>'Reconciliation Adj EBITDA'!H21</f>
        <v>148</v>
      </c>
      <c r="I9" s="114">
        <f>'Reconciliation Adj EBITDA'!I21</f>
        <v>1793</v>
      </c>
      <c r="J9" s="114">
        <f>'Reconciliation Adj EBITDA'!J21</f>
        <v>980</v>
      </c>
      <c r="K9" s="118">
        <f>'Reconciliation Adj EBITDA'!K21</f>
        <v>2921</v>
      </c>
      <c r="L9" s="114">
        <f>'Reconciliation Adj EBITDA'!L21</f>
        <v>6</v>
      </c>
      <c r="M9" s="114">
        <f>'Reconciliation Adj EBITDA'!M21</f>
        <v>0</v>
      </c>
      <c r="N9" s="114">
        <f>'Reconciliation Adj EBITDA'!N21</f>
        <v>0</v>
      </c>
      <c r="O9" s="114">
        <f>'Reconciliation Adj EBITDA'!O21</f>
        <v>0</v>
      </c>
      <c r="P9" s="118">
        <f>'Reconciliation Adj EBITDA'!P21</f>
        <v>6</v>
      </c>
      <c r="Q9" s="114">
        <f>'Reconciliation Adj EBITDA'!Q21</f>
        <v>0</v>
      </c>
      <c r="R9" s="114">
        <f>'Reconciliation Adj EBITDA'!R21</f>
        <v>0</v>
      </c>
      <c r="S9" s="114">
        <f>'Reconciliation Adj EBITDA'!S21</f>
        <v>516</v>
      </c>
      <c r="T9" s="114">
        <f>'Reconciliation Adj EBITDA'!T21</f>
        <v>1222</v>
      </c>
      <c r="U9" s="118">
        <f>'Reconciliation Adj EBITDA'!U21</f>
        <v>1738</v>
      </c>
      <c r="V9" s="114">
        <f>'Reconciliation Adj EBITDA'!V21</f>
        <v>0</v>
      </c>
      <c r="W9" s="114">
        <f>'Reconciliation Adj EBITDA'!W21</f>
        <v>0</v>
      </c>
    </row>
    <row r="10" spans="1:23" s="2" customFormat="1" ht="15" customHeight="1" x14ac:dyDescent="0.35">
      <c r="A10" s="2" t="s">
        <v>102</v>
      </c>
      <c r="B10" s="114">
        <f>'Reconciliation Adj EBITDA'!B23</f>
        <v>109</v>
      </c>
      <c r="C10" s="114">
        <f>'Reconciliation Adj EBITDA'!C23</f>
        <v>115</v>
      </c>
      <c r="D10" s="114">
        <f>'Reconciliation Adj EBITDA'!D23</f>
        <v>54</v>
      </c>
      <c r="E10" s="114">
        <f>'Reconciliation Adj EBITDA'!E23</f>
        <v>-2172</v>
      </c>
      <c r="F10" s="118">
        <f>'Reconciliation Adj EBITDA'!F23</f>
        <v>-1894</v>
      </c>
      <c r="G10" s="114">
        <f>'Reconciliation Adj EBITDA'!G23</f>
        <v>40</v>
      </c>
      <c r="H10" s="114">
        <f>'Reconciliation Adj EBITDA'!H23</f>
        <v>44</v>
      </c>
      <c r="I10" s="114">
        <f>'Reconciliation Adj EBITDA'!I23</f>
        <v>3</v>
      </c>
      <c r="J10" s="114">
        <f>'Reconciliation Adj EBITDA'!J23</f>
        <v>-3</v>
      </c>
      <c r="K10" s="118">
        <f>'Reconciliation Adj EBITDA'!K23</f>
        <v>85</v>
      </c>
      <c r="L10" s="114">
        <f>'Reconciliation Adj EBITDA'!L23</f>
        <v>0</v>
      </c>
      <c r="M10" s="114">
        <f>'Reconciliation Adj EBITDA'!M23</f>
        <v>0</v>
      </c>
      <c r="N10" s="114">
        <f>'Reconciliation Adj EBITDA'!N23</f>
        <v>0</v>
      </c>
      <c r="O10" s="114">
        <f>'Reconciliation Adj EBITDA'!O23</f>
        <v>0</v>
      </c>
      <c r="P10" s="118">
        <f>'Reconciliation Adj EBITDA'!P23</f>
        <v>0</v>
      </c>
      <c r="Q10" s="114">
        <f>'Reconciliation Adj EBITDA'!Q23</f>
        <v>0</v>
      </c>
      <c r="R10" s="114">
        <f>'Reconciliation Adj EBITDA'!R23</f>
        <v>0</v>
      </c>
      <c r="S10" s="114">
        <f>'Reconciliation Adj EBITDA'!S23</f>
        <v>0</v>
      </c>
      <c r="T10" s="114">
        <f>'Reconciliation Adj EBITDA'!T23</f>
        <v>0</v>
      </c>
      <c r="U10" s="118">
        <f>'Reconciliation Adj EBITDA'!U23</f>
        <v>0</v>
      </c>
      <c r="V10" s="114">
        <f>'Reconciliation Adj EBITDA'!V23</f>
        <v>0</v>
      </c>
      <c r="W10" s="114">
        <f>'Reconciliation Adj EBITDA'!W23</f>
        <v>0</v>
      </c>
    </row>
    <row r="11" spans="1:23" s="2" customFormat="1" ht="15" customHeight="1" x14ac:dyDescent="0.35">
      <c r="A11" s="2" t="s">
        <v>121</v>
      </c>
      <c r="B11" s="114">
        <f>'Reconciliation Adj EBITDA'!B26</f>
        <v>0</v>
      </c>
      <c r="C11" s="114">
        <f>'Reconciliation Adj EBITDA'!C26</f>
        <v>0</v>
      </c>
      <c r="D11" s="114">
        <f>'Reconciliation Adj EBITDA'!D26</f>
        <v>0</v>
      </c>
      <c r="E11" s="114">
        <f>'Reconciliation Adj EBITDA'!E26</f>
        <v>0</v>
      </c>
      <c r="F11" s="118">
        <f>'Reconciliation Adj EBITDA'!F26</f>
        <v>0</v>
      </c>
      <c r="G11" s="114">
        <f>'Reconciliation Adj EBITDA'!G26</f>
        <v>0</v>
      </c>
      <c r="H11" s="114">
        <f>'Reconciliation Adj EBITDA'!H26</f>
        <v>0</v>
      </c>
      <c r="I11" s="114">
        <f>'Reconciliation Adj EBITDA'!I26</f>
        <v>0</v>
      </c>
      <c r="J11" s="114">
        <f>'Reconciliation Adj EBITDA'!J26</f>
        <v>0</v>
      </c>
      <c r="K11" s="118">
        <f>'Reconciliation Adj EBITDA'!K26</f>
        <v>0</v>
      </c>
      <c r="L11" s="114">
        <f>'Reconciliation Adj EBITDA'!L26</f>
        <v>0</v>
      </c>
      <c r="M11" s="114">
        <f>'Reconciliation Adj EBITDA'!M26</f>
        <v>3299</v>
      </c>
      <c r="N11" s="114">
        <f>'Reconciliation Adj EBITDA'!N26</f>
        <v>0</v>
      </c>
      <c r="O11" s="114">
        <f>'Reconciliation Adj EBITDA'!O26</f>
        <v>4057</v>
      </c>
      <c r="P11" s="118">
        <f>'Reconciliation Adj EBITDA'!P26</f>
        <v>7356</v>
      </c>
      <c r="Q11" s="114">
        <f>'Reconciliation Adj EBITDA'!Q26</f>
        <v>-252</v>
      </c>
      <c r="R11" s="114">
        <f>'Reconciliation Adj EBITDA'!R26</f>
        <v>199</v>
      </c>
      <c r="S11" s="114">
        <f>'Reconciliation Adj EBITDA'!S26</f>
        <v>0</v>
      </c>
      <c r="T11" s="114">
        <f>'Reconciliation Adj EBITDA'!T26</f>
        <v>0</v>
      </c>
      <c r="U11" s="118">
        <f>'Reconciliation Adj EBITDA'!U26</f>
        <v>-53</v>
      </c>
      <c r="V11" s="114">
        <f>'Reconciliation Adj EBITDA'!V26</f>
        <v>1890</v>
      </c>
      <c r="W11" s="114">
        <f>'Reconciliation Adj EBITDA'!W26</f>
        <v>728</v>
      </c>
    </row>
    <row r="12" spans="1:23" s="2" customFormat="1" ht="15" customHeight="1" x14ac:dyDescent="0.35">
      <c r="A12" s="2" t="s">
        <v>122</v>
      </c>
      <c r="B12" s="66">
        <v>-130</v>
      </c>
      <c r="C12" s="66">
        <v>-426</v>
      </c>
      <c r="D12" s="66">
        <v>-274</v>
      </c>
      <c r="E12" s="66">
        <v>-47</v>
      </c>
      <c r="F12" s="77">
        <v>-878</v>
      </c>
      <c r="G12" s="66">
        <v>-228</v>
      </c>
      <c r="H12" s="66">
        <v>-159</v>
      </c>
      <c r="I12" s="66">
        <v>-129</v>
      </c>
      <c r="J12" s="66">
        <v>-432</v>
      </c>
      <c r="K12" s="77">
        <v>-948</v>
      </c>
      <c r="L12" s="66">
        <v>-3317</v>
      </c>
      <c r="M12" s="66">
        <f>-4254-1</f>
        <v>-4255</v>
      </c>
      <c r="N12" s="66">
        <v>-4309</v>
      </c>
      <c r="O12" s="66">
        <v>1088</v>
      </c>
      <c r="P12" s="77">
        <v>-10792</v>
      </c>
      <c r="Q12" s="66">
        <v>-3079</v>
      </c>
      <c r="R12" s="66">
        <v>-3117</v>
      </c>
      <c r="S12" s="66">
        <v>-3309</v>
      </c>
      <c r="T12" s="66">
        <v>-2218</v>
      </c>
      <c r="U12" s="77">
        <v>-11723</v>
      </c>
      <c r="V12" s="66">
        <v>-2940</v>
      </c>
      <c r="W12" s="66">
        <v>-2391</v>
      </c>
    </row>
    <row r="13" spans="1:23" s="2" customFormat="1" ht="15" customHeight="1" x14ac:dyDescent="0.35">
      <c r="A13" s="2" t="s">
        <v>104</v>
      </c>
      <c r="B13" s="126">
        <f t="shared" ref="B13:P13" si="0">SUM(B7:B12)</f>
        <v>7216</v>
      </c>
      <c r="C13" s="126">
        <f t="shared" si="0"/>
        <v>6688</v>
      </c>
      <c r="D13" s="126">
        <f t="shared" si="0"/>
        <v>5580</v>
      </c>
      <c r="E13" s="126">
        <f t="shared" si="0"/>
        <v>8077</v>
      </c>
      <c r="F13" s="123">
        <f t="shared" si="0"/>
        <v>27559</v>
      </c>
      <c r="G13" s="126">
        <f t="shared" si="0"/>
        <v>9559</v>
      </c>
      <c r="H13" s="126">
        <f t="shared" si="0"/>
        <v>8553</v>
      </c>
      <c r="I13" s="126">
        <f t="shared" si="0"/>
        <v>16575</v>
      </c>
      <c r="J13" s="126">
        <f t="shared" si="0"/>
        <v>14760</v>
      </c>
      <c r="K13" s="81">
        <f t="shared" si="0"/>
        <v>49448</v>
      </c>
      <c r="L13" s="126">
        <f t="shared" si="0"/>
        <v>16303</v>
      </c>
      <c r="M13" s="126">
        <f t="shared" si="0"/>
        <v>18739</v>
      </c>
      <c r="N13" s="126">
        <f t="shared" si="0"/>
        <v>22147</v>
      </c>
      <c r="O13" s="69">
        <f t="shared" si="0"/>
        <v>29461</v>
      </c>
      <c r="P13" s="81">
        <f t="shared" si="0"/>
        <v>86652</v>
      </c>
      <c r="Q13" s="69">
        <f>SUM(Q7:Q12)</f>
        <v>19429</v>
      </c>
      <c r="R13" s="69">
        <f>SUM(R7:R12)</f>
        <v>20775</v>
      </c>
      <c r="S13" s="69">
        <f>SUM(S7:S12)</f>
        <v>18388</v>
      </c>
      <c r="T13" s="69">
        <f t="shared" ref="T13:U13" si="1">SUM(T7:T12)</f>
        <v>14267</v>
      </c>
      <c r="U13" s="81">
        <f t="shared" si="1"/>
        <v>72859</v>
      </c>
      <c r="V13" s="69">
        <f>SUM(V7:V12)</f>
        <v>18304</v>
      </c>
      <c r="W13" s="69">
        <f>SUM(W7:W12)</f>
        <v>18193</v>
      </c>
    </row>
    <row r="14" spans="1:23" s="2" customFormat="1" ht="15" customHeight="1" thickBot="1" x14ac:dyDescent="0.45">
      <c r="A14" s="1" t="s">
        <v>197</v>
      </c>
      <c r="B14" s="115">
        <f t="shared" ref="B14:P14" si="2">SUM(B5,B13)</f>
        <v>20833</v>
      </c>
      <c r="C14" s="115">
        <f t="shared" si="2"/>
        <v>10617</v>
      </c>
      <c r="D14" s="115">
        <f t="shared" si="2"/>
        <v>11373</v>
      </c>
      <c r="E14" s="115">
        <f t="shared" si="2"/>
        <v>47015</v>
      </c>
      <c r="F14" s="119">
        <f t="shared" si="2"/>
        <v>89835</v>
      </c>
      <c r="G14" s="115">
        <f t="shared" si="2"/>
        <v>28086</v>
      </c>
      <c r="H14" s="115">
        <f t="shared" si="2"/>
        <v>21892</v>
      </c>
      <c r="I14" s="115">
        <f t="shared" si="2"/>
        <v>31299</v>
      </c>
      <c r="J14" s="115">
        <f t="shared" si="2"/>
        <v>55500</v>
      </c>
      <c r="K14" s="119">
        <f t="shared" si="2"/>
        <v>136777</v>
      </c>
      <c r="L14" s="115">
        <f t="shared" si="2"/>
        <v>30821</v>
      </c>
      <c r="M14" s="115">
        <f t="shared" si="2"/>
        <v>26244</v>
      </c>
      <c r="N14" s="115">
        <f t="shared" si="2"/>
        <v>44416</v>
      </c>
      <c r="O14" s="115">
        <f t="shared" si="2"/>
        <v>81829</v>
      </c>
      <c r="P14" s="119">
        <f t="shared" si="2"/>
        <v>183311</v>
      </c>
      <c r="Q14" s="115">
        <f>SUM(Q5,Q13)</f>
        <v>40519</v>
      </c>
      <c r="R14" s="115">
        <f>SUM(R5,R13)</f>
        <v>35482</v>
      </c>
      <c r="S14" s="115">
        <f>SUM(S5,S13)</f>
        <v>36336</v>
      </c>
      <c r="T14" s="115">
        <f t="shared" ref="T14:U14" si="3">SUM(T5,T13)</f>
        <v>56401</v>
      </c>
      <c r="U14" s="119">
        <f t="shared" si="3"/>
        <v>168738</v>
      </c>
      <c r="V14" s="115">
        <f>SUM(V5,V13)</f>
        <v>39705</v>
      </c>
      <c r="W14" s="115">
        <f>SUM(W5,W13)</f>
        <v>30730</v>
      </c>
    </row>
    <row r="15" spans="1:23" s="2" customFormat="1" ht="15" customHeight="1" thickTop="1" x14ac:dyDescent="0.35">
      <c r="B15" s="15"/>
      <c r="C15" s="15"/>
      <c r="D15" s="15"/>
      <c r="E15" s="15"/>
      <c r="F15" s="22"/>
      <c r="G15" s="15"/>
      <c r="H15" s="15"/>
      <c r="I15" s="15"/>
      <c r="J15" s="15"/>
      <c r="K15" s="22"/>
      <c r="L15" s="15"/>
      <c r="M15" s="15"/>
      <c r="N15" s="15"/>
      <c r="O15" s="15"/>
      <c r="P15" s="22"/>
      <c r="Q15" s="15"/>
      <c r="R15" s="15"/>
      <c r="S15" s="15"/>
      <c r="T15" s="15"/>
      <c r="U15" s="22"/>
      <c r="V15" s="15"/>
      <c r="W15" s="15"/>
    </row>
    <row r="16" spans="1:23" s="2" customFormat="1" ht="15" customHeight="1" x14ac:dyDescent="0.35">
      <c r="A16" s="2" t="s">
        <v>123</v>
      </c>
      <c r="B16" s="15"/>
      <c r="C16" s="15"/>
      <c r="D16" s="15"/>
      <c r="E16" s="15"/>
      <c r="F16" s="22"/>
      <c r="G16" s="15"/>
      <c r="H16" s="15"/>
      <c r="I16" s="15"/>
      <c r="J16" s="15"/>
      <c r="K16" s="22"/>
      <c r="L16" s="15"/>
      <c r="M16" s="15"/>
      <c r="N16" s="15"/>
      <c r="O16" s="15"/>
      <c r="P16" s="22"/>
      <c r="Q16" s="15"/>
      <c r="R16" s="15"/>
      <c r="S16" s="15"/>
      <c r="T16" s="15"/>
      <c r="U16" s="22"/>
      <c r="V16" s="15"/>
      <c r="W16" s="15"/>
    </row>
    <row r="17" spans="1:25" s="2" customFormat="1" ht="15" customHeight="1" x14ac:dyDescent="0.35">
      <c r="A17" s="41" t="s">
        <v>124</v>
      </c>
      <c r="B17" s="114">
        <f>'P&amp;L'!B28</f>
        <v>61174168</v>
      </c>
      <c r="C17" s="114">
        <f>'P&amp;L'!C28</f>
        <v>61719367</v>
      </c>
      <c r="D17" s="114">
        <f>'P&amp;L'!D28</f>
        <v>62082110</v>
      </c>
      <c r="E17" s="114">
        <f>'P&amp;L'!E28</f>
        <v>62348620</v>
      </c>
      <c r="F17" s="118">
        <f>'P&amp;L'!F28</f>
        <v>61835499</v>
      </c>
      <c r="G17" s="114">
        <f>'P&amp;L'!G28</f>
        <v>62610013</v>
      </c>
      <c r="H17" s="114">
        <f>'P&amp;L'!H28</f>
        <v>63246785</v>
      </c>
      <c r="I17" s="114">
        <f>'P&amp;L'!I28</f>
        <v>63628351</v>
      </c>
      <c r="J17" s="114">
        <f>'P&amp;L'!J28</f>
        <v>63760491</v>
      </c>
      <c r="K17" s="118">
        <f>'P&amp;L'!K28</f>
        <v>63337792</v>
      </c>
      <c r="L17" s="114">
        <f>'P&amp;L'!L28</f>
        <v>64189194</v>
      </c>
      <c r="M17" s="114">
        <f>'P&amp;L'!M28</f>
        <v>65027985</v>
      </c>
      <c r="N17" s="114">
        <f>'P&amp;L'!N28</f>
        <v>65412326</v>
      </c>
      <c r="O17" s="114">
        <f>'P&amp;L'!O28</f>
        <v>65919533</v>
      </c>
      <c r="P17" s="118">
        <f>'P&amp;L'!P28</f>
        <v>65143036</v>
      </c>
      <c r="Q17" s="114">
        <f>'P&amp;L'!Q28</f>
        <v>66160375</v>
      </c>
      <c r="R17" s="114">
        <f>'P&amp;L'!R28</f>
        <v>66347599</v>
      </c>
      <c r="S17" s="114">
        <f>'P&amp;L'!S28</f>
        <v>67075453</v>
      </c>
      <c r="T17" s="114">
        <f>'P&amp;L'!T28</f>
        <v>66220030</v>
      </c>
      <c r="U17" s="118">
        <f>'P&amp;L'!U28</f>
        <v>66456890</v>
      </c>
      <c r="V17" s="114">
        <f>'P&amp;L'!V28</f>
        <v>64336777</v>
      </c>
      <c r="W17" s="114">
        <f>'P&amp;L'!W28</f>
        <v>64581476</v>
      </c>
    </row>
    <row r="18" spans="1:25" s="2" customFormat="1" ht="15" customHeight="1" x14ac:dyDescent="0.35">
      <c r="A18" s="41" t="s">
        <v>125</v>
      </c>
      <c r="B18" s="114">
        <f>'P&amp;L'!B29</f>
        <v>64741942</v>
      </c>
      <c r="C18" s="114">
        <f>'P&amp;L'!C29</f>
        <v>65279611</v>
      </c>
      <c r="D18" s="114">
        <f>'P&amp;L'!D29</f>
        <v>65254238</v>
      </c>
      <c r="E18" s="114">
        <f>'P&amp;L'!E29</f>
        <v>65092423</v>
      </c>
      <c r="F18" s="118">
        <f>'P&amp;L'!F29</f>
        <v>65096486</v>
      </c>
      <c r="G18" s="114">
        <f>'P&amp;L'!G29</f>
        <v>64841134</v>
      </c>
      <c r="H18" s="114">
        <f>'P&amp;L'!H29</f>
        <v>65625097</v>
      </c>
      <c r="I18" s="114">
        <f>'P&amp;L'!I29</f>
        <v>65816422</v>
      </c>
      <c r="J18" s="114">
        <f>'P&amp;L'!J29</f>
        <v>66145704</v>
      </c>
      <c r="K18" s="118">
        <f>'P&amp;L'!K29</f>
        <v>65633470</v>
      </c>
      <c r="L18" s="114">
        <f>'P&amp;L'!L29</f>
        <v>67283012</v>
      </c>
      <c r="M18" s="114">
        <f>'P&amp;L'!M29</f>
        <v>68131274</v>
      </c>
      <c r="N18" s="114">
        <f>'P&amp;L'!N29</f>
        <v>68200343</v>
      </c>
      <c r="O18" s="114">
        <f>'P&amp;L'!O29</f>
        <v>67770156</v>
      </c>
      <c r="P18" s="118">
        <f>'P&amp;L'!P29</f>
        <v>67851971</v>
      </c>
      <c r="Q18" s="114">
        <f>'P&amp;L'!Q29</f>
        <v>67469738</v>
      </c>
      <c r="R18" s="114">
        <f>'P&amp;L'!R29</f>
        <v>67488311</v>
      </c>
      <c r="S18" s="114">
        <f>'P&amp;L'!S29</f>
        <v>68625673</v>
      </c>
      <c r="T18" s="114">
        <f>'P&amp;L'!T29</f>
        <v>67043794</v>
      </c>
      <c r="U18" s="118">
        <f>'P&amp;L'!U29</f>
        <v>67662904</v>
      </c>
      <c r="V18" s="114">
        <f>'P&amp;L'!V29</f>
        <v>66041296</v>
      </c>
      <c r="W18" s="114">
        <f>'P&amp;L'!W29</f>
        <v>65624505</v>
      </c>
      <c r="X18" s="162"/>
      <c r="Y18" s="161"/>
    </row>
    <row r="19" spans="1:25" s="2" customFormat="1" ht="15" customHeight="1" x14ac:dyDescent="0.35">
      <c r="B19" s="15"/>
      <c r="C19" s="15"/>
      <c r="D19" s="15"/>
      <c r="E19" s="15"/>
      <c r="F19" s="22"/>
      <c r="G19" s="15"/>
      <c r="H19" s="15"/>
      <c r="I19" s="15"/>
      <c r="J19" s="15"/>
      <c r="K19" s="22"/>
      <c r="L19" s="15"/>
      <c r="M19" s="15"/>
      <c r="N19" s="15"/>
      <c r="O19" s="15"/>
      <c r="P19" s="22"/>
      <c r="Q19" s="15"/>
      <c r="R19" s="15"/>
      <c r="S19" s="15"/>
      <c r="T19" s="15"/>
      <c r="U19" s="22"/>
      <c r="V19" s="15"/>
      <c r="W19" s="15"/>
    </row>
    <row r="20" spans="1:25" s="2" customFormat="1" ht="15" customHeight="1" x14ac:dyDescent="0.35">
      <c r="A20" s="2" t="s">
        <v>126</v>
      </c>
      <c r="B20" s="15"/>
      <c r="C20" s="15"/>
      <c r="D20" s="15"/>
      <c r="E20" s="15"/>
      <c r="F20" s="22"/>
      <c r="G20" s="15"/>
      <c r="H20" s="15"/>
      <c r="I20" s="15"/>
      <c r="J20" s="15"/>
      <c r="K20" s="22"/>
      <c r="L20" s="15"/>
      <c r="M20" s="15"/>
      <c r="N20" s="15"/>
      <c r="O20" s="15"/>
      <c r="P20" s="22"/>
      <c r="Q20" s="15"/>
      <c r="R20" s="15"/>
      <c r="S20" s="15"/>
      <c r="T20" s="15"/>
      <c r="U20" s="22"/>
      <c r="V20" s="15"/>
      <c r="W20" s="15"/>
    </row>
    <row r="21" spans="1:25" s="2" customFormat="1" ht="15" customHeight="1" thickBot="1" x14ac:dyDescent="0.4">
      <c r="A21" s="41" t="s">
        <v>124</v>
      </c>
      <c r="B21" s="73">
        <f>ROUND(B14*1000/B17,2)</f>
        <v>0.34</v>
      </c>
      <c r="C21" s="73">
        <f t="shared" ref="C21:Q21" si="4">ROUND(C14*1000/C17,2)</f>
        <v>0.17</v>
      </c>
      <c r="D21" s="73">
        <f t="shared" si="4"/>
        <v>0.18</v>
      </c>
      <c r="E21" s="73">
        <f t="shared" si="4"/>
        <v>0.75</v>
      </c>
      <c r="F21" s="85">
        <f t="shared" si="4"/>
        <v>1.45</v>
      </c>
      <c r="G21" s="73">
        <f t="shared" si="4"/>
        <v>0.45</v>
      </c>
      <c r="H21" s="73">
        <f t="shared" si="4"/>
        <v>0.35</v>
      </c>
      <c r="I21" s="73">
        <f t="shared" si="4"/>
        <v>0.49</v>
      </c>
      <c r="J21" s="73">
        <f t="shared" si="4"/>
        <v>0.87</v>
      </c>
      <c r="K21" s="85">
        <f t="shared" si="4"/>
        <v>2.16</v>
      </c>
      <c r="L21" s="73">
        <f t="shared" si="4"/>
        <v>0.48</v>
      </c>
      <c r="M21" s="73">
        <f t="shared" si="4"/>
        <v>0.4</v>
      </c>
      <c r="N21" s="73">
        <f t="shared" si="4"/>
        <v>0.68</v>
      </c>
      <c r="O21" s="73">
        <f t="shared" si="4"/>
        <v>1.24</v>
      </c>
      <c r="P21" s="85">
        <f t="shared" si="4"/>
        <v>2.81</v>
      </c>
      <c r="Q21" s="73">
        <f t="shared" si="4"/>
        <v>0.61</v>
      </c>
      <c r="R21" s="73">
        <f t="shared" ref="R21:V21" si="5">ROUND(R14*1000/R17,2)</f>
        <v>0.53</v>
      </c>
      <c r="S21" s="73">
        <f t="shared" si="5"/>
        <v>0.54</v>
      </c>
      <c r="T21" s="73">
        <f t="shared" si="5"/>
        <v>0.85</v>
      </c>
      <c r="U21" s="85">
        <f t="shared" si="5"/>
        <v>2.54</v>
      </c>
      <c r="V21" s="73">
        <f t="shared" si="5"/>
        <v>0.62</v>
      </c>
      <c r="W21" s="73">
        <f t="shared" ref="W21" si="6">ROUND(W14*1000/W17,2)</f>
        <v>0.48</v>
      </c>
    </row>
    <row r="22" spans="1:25" s="2" customFormat="1" ht="15" customHeight="1" thickTop="1" thickBot="1" x14ac:dyDescent="0.4">
      <c r="A22" s="41" t="s">
        <v>125</v>
      </c>
      <c r="B22" s="73">
        <f>ROUND(B14*1000/B18,2)</f>
        <v>0.32</v>
      </c>
      <c r="C22" s="73">
        <f t="shared" ref="C22:Q22" si="7">ROUND(C14*1000/C18,2)</f>
        <v>0.16</v>
      </c>
      <c r="D22" s="73">
        <f t="shared" si="7"/>
        <v>0.17</v>
      </c>
      <c r="E22" s="73">
        <f t="shared" si="7"/>
        <v>0.72</v>
      </c>
      <c r="F22" s="85">
        <f t="shared" si="7"/>
        <v>1.38</v>
      </c>
      <c r="G22" s="73">
        <f t="shared" si="7"/>
        <v>0.43</v>
      </c>
      <c r="H22" s="73">
        <f t="shared" si="7"/>
        <v>0.33</v>
      </c>
      <c r="I22" s="73">
        <f t="shared" si="7"/>
        <v>0.48</v>
      </c>
      <c r="J22" s="73">
        <f t="shared" si="7"/>
        <v>0.84</v>
      </c>
      <c r="K22" s="124">
        <f t="shared" si="7"/>
        <v>2.08</v>
      </c>
      <c r="L22" s="73">
        <f t="shared" si="7"/>
        <v>0.46</v>
      </c>
      <c r="M22" s="73">
        <f t="shared" si="7"/>
        <v>0.39</v>
      </c>
      <c r="N22" s="127">
        <f t="shared" si="7"/>
        <v>0.65</v>
      </c>
      <c r="O22" s="127">
        <f t="shared" si="7"/>
        <v>1.21</v>
      </c>
      <c r="P22" s="124">
        <f t="shared" si="7"/>
        <v>2.7</v>
      </c>
      <c r="Q22" s="127">
        <f t="shared" si="7"/>
        <v>0.6</v>
      </c>
      <c r="R22" s="127">
        <f t="shared" ref="R22:V22" si="8">ROUND(R14*1000/R18,2)</f>
        <v>0.53</v>
      </c>
      <c r="S22" s="127">
        <f t="shared" si="8"/>
        <v>0.53</v>
      </c>
      <c r="T22" s="127">
        <f t="shared" si="8"/>
        <v>0.84</v>
      </c>
      <c r="U22" s="124">
        <f t="shared" si="8"/>
        <v>2.4900000000000002</v>
      </c>
      <c r="V22" s="127">
        <f t="shared" si="8"/>
        <v>0.6</v>
      </c>
      <c r="W22" s="127">
        <f t="shared" ref="W22" si="9">ROUND(W14*1000/W18,2)</f>
        <v>0.47</v>
      </c>
    </row>
    <row r="23" spans="1:25" s="2" customFormat="1" ht="15" customHeight="1" thickTop="1" x14ac:dyDescent="0.35">
      <c r="F23" s="22"/>
      <c r="K23" s="22"/>
      <c r="P23" s="22"/>
      <c r="R23" s="56"/>
      <c r="S23" s="56"/>
      <c r="T23" s="56"/>
      <c r="U23" s="22"/>
      <c r="V23" s="56"/>
      <c r="W23" s="56"/>
    </row>
    <row r="24" spans="1:25" ht="100.9" customHeight="1" x14ac:dyDescent="0.35">
      <c r="A24" s="173" t="s">
        <v>190</v>
      </c>
      <c r="B24" s="173"/>
      <c r="C24" s="173"/>
      <c r="D24" s="173"/>
      <c r="E24" s="173"/>
      <c r="F24" s="173"/>
      <c r="G24" s="173"/>
      <c r="H24" s="173"/>
      <c r="I24" s="173"/>
      <c r="J24" s="173"/>
      <c r="K24" s="173"/>
      <c r="L24" s="173"/>
      <c r="M24" s="173"/>
      <c r="N24" s="173"/>
      <c r="O24" s="173"/>
      <c r="P24" s="173"/>
      <c r="Q24" s="173"/>
      <c r="R24" s="173"/>
      <c r="S24" s="173"/>
      <c r="T24" s="173"/>
      <c r="U24" s="173"/>
      <c r="V24" s="173"/>
      <c r="W24" s="173"/>
    </row>
    <row r="25" spans="1:25" ht="15" customHeight="1" x14ac:dyDescent="0.35"/>
    <row r="26" spans="1:25" ht="15" customHeight="1" x14ac:dyDescent="0.35"/>
    <row r="27" spans="1:25" ht="15" customHeight="1" x14ac:dyDescent="0.35"/>
    <row r="28" spans="1:25" ht="15" customHeight="1" x14ac:dyDescent="0.35"/>
    <row r="29" spans="1:25" ht="15" customHeight="1" x14ac:dyDescent="0.35"/>
    <row r="30" spans="1:25" ht="15" customHeight="1" x14ac:dyDescent="0.35"/>
    <row r="31" spans="1:25" ht="15" customHeight="1" x14ac:dyDescent="0.35"/>
    <row r="32" spans="1:25"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sheetData>
  <mergeCells count="1">
    <mergeCell ref="A24:W24"/>
  </mergeCells>
  <pageMargins left="0.7" right="0.7" top="0.75" bottom="0.75" header="0.3" footer="0.3"/>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36854949ECD149A2096B1C1F8454E7" ma:contentTypeVersion="9" ma:contentTypeDescription="Create a new document." ma:contentTypeScope="" ma:versionID="f9f040e99791ef5c9b555645c25e07f2">
  <xsd:schema xmlns:xsd="http://www.w3.org/2001/XMLSchema" xmlns:xs="http://www.w3.org/2001/XMLSchema" xmlns:p="http://schemas.microsoft.com/office/2006/metadata/properties" xmlns:ns2="21713d80-713e-4630-95a9-09125392c97e" xmlns:ns3="17723094-b48d-4553-a289-9e55402c0c9a" targetNamespace="http://schemas.microsoft.com/office/2006/metadata/properties" ma:root="true" ma:fieldsID="7e97fc06e86569e37f4f35aafa1e4254" ns2:_="" ns3:_="">
    <xsd:import namespace="21713d80-713e-4630-95a9-09125392c97e"/>
    <xsd:import namespace="17723094-b48d-4553-a289-9e55402c0c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13d80-713e-4630-95a9-09125392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723094-b48d-4553-a289-9e55402c0c9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455054-E5ED-4776-AF32-1C594A76A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13d80-713e-4630-95a9-09125392c97e"/>
    <ds:schemaRef ds:uri="17723094-b48d-4553-a289-9e55402c0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ADB801-AF3A-4BA5-A644-EAD8C5860CC3}">
  <ds:schemaRefs>
    <ds:schemaRef ds:uri="17723094-b48d-4553-a289-9e55402c0c9a"/>
    <ds:schemaRef ds:uri="http://schemas.microsoft.com/office/infopath/2007/PartnerControls"/>
    <ds:schemaRef ds:uri="http://schemas.openxmlformats.org/package/2006/metadata/core-properties"/>
    <ds:schemaRef ds:uri="21713d80-713e-4630-95a9-09125392c97e"/>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A40E49D-851C-480C-B535-FFBC4EB414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Balance Sheet</vt:lpstr>
      <vt:lpstr>P&amp;L</vt:lpstr>
      <vt:lpstr>Cashflows</vt:lpstr>
      <vt:lpstr>Free Cash Flow</vt:lpstr>
      <vt:lpstr>Rev Ex Tac</vt:lpstr>
      <vt:lpstr>Reconciliation Adj EBITDA</vt:lpstr>
      <vt:lpstr>Non GAAP OPEX</vt:lpstr>
      <vt:lpstr>Non GAAP Adjustments</vt:lpstr>
      <vt:lpstr>Adjusted Net Inc</vt:lpstr>
      <vt:lpstr>Shares Outstanding</vt:lpstr>
      <vt:lpstr>Historic Quarter Summary</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2018 Earnings WB</dc:title>
  <dc:creator>Workiva - Clemence Vermersch</dc:creator>
  <cp:lastModifiedBy>Clemence Vermersch</cp:lastModifiedBy>
  <dcterms:created xsi:type="dcterms:W3CDTF">2018-04-23T12:05:21Z</dcterms:created>
  <dcterms:modified xsi:type="dcterms:W3CDTF">2019-07-30T20:35:48Z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0x010100ED36854949ECD149A2096B1C1F8454E7</vt:lpwstr>
  </property>
</Properties>
</file>