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riteois.sharepoint.com/sites/InvestorInfluencerRelations/Shared Documents/Website/Financials-IR website/2022/"/>
    </mc:Choice>
  </mc:AlternateContent>
  <xr:revisionPtr revIDLastSave="1102" documentId="8_{BA0F3155-9E25-4A07-AE29-E5FF6250FF64}" xr6:coauthVersionLast="47" xr6:coauthVersionMax="47" xr10:uidLastSave="{15B361EA-3404-43F0-A676-85B409A46E67}"/>
  <bookViews>
    <workbookView xWindow="28680" yWindow="-120" windowWidth="29040" windowHeight="15990" tabRatio="788" firstSheet="4" activeTab="11" xr2:uid="{00000000-000D-0000-FFFF-FFFF00000000}"/>
  </bookViews>
  <sheets>
    <sheet name="Balance Sheet" sheetId="1" r:id="rId1"/>
    <sheet name="P&amp;L" sheetId="2" r:id="rId2"/>
    <sheet name="Cashflows" sheetId="3" r:id="rId3"/>
    <sheet name="Free Cash Flow" sheetId="4" r:id="rId4"/>
    <sheet name="Contribution Ex Tac" sheetId="5" r:id="rId5"/>
    <sheet name="Non GAAP OPEX" sheetId="7" r:id="rId6"/>
    <sheet name="Reconciliation Adj EBITDA" sheetId="6" r:id="rId7"/>
    <sheet name="Non GAAP Adjustments" sheetId="8" r:id="rId8"/>
    <sheet name="Adjusted Net Inc" sheetId="9" r:id="rId9"/>
    <sheet name="Historic Quarter Summary" sheetId="12" r:id="rId10"/>
    <sheet name="Shares Outstanding" sheetId="11" r:id="rId11"/>
    <sheet name="Marketing Solutions" sheetId="14"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 i="1" l="1"/>
  <c r="AD25" i="1"/>
  <c r="AD52" i="1"/>
  <c r="AD53" i="1"/>
  <c r="AN22" i="7"/>
  <c r="AN31" i="7" s="1"/>
  <c r="AL37" i="3"/>
  <c r="AK37" i="3"/>
  <c r="AM38" i="5"/>
  <c r="AN38" i="5"/>
  <c r="AN8" i="2" s="1"/>
  <c r="AO15" i="7"/>
  <c r="AO33" i="7"/>
  <c r="AO22" i="7"/>
  <c r="AO23" i="7"/>
  <c r="AO25" i="7"/>
  <c r="AO21" i="7"/>
  <c r="AO20" i="7"/>
  <c r="AO19" i="7"/>
  <c r="AO16" i="7"/>
  <c r="AO14" i="7"/>
  <c r="AO13" i="7"/>
  <c r="AO12" i="7"/>
  <c r="AO9" i="7"/>
  <c r="AO8" i="7"/>
  <c r="AO7" i="7"/>
  <c r="AO6" i="7"/>
  <c r="AO5" i="7"/>
  <c r="AN25" i="7"/>
  <c r="AN21" i="7"/>
  <c r="AN20" i="7"/>
  <c r="AN19" i="7"/>
  <c r="AN16" i="7"/>
  <c r="AN14" i="7"/>
  <c r="AN13" i="7"/>
  <c r="AN12" i="7"/>
  <c r="AN9" i="7"/>
  <c r="AN8" i="7"/>
  <c r="AN7" i="7"/>
  <c r="AN6" i="7"/>
  <c r="AN5" i="7"/>
  <c r="AM41" i="12"/>
  <c r="AM43" i="12" s="1"/>
  <c r="AM34" i="12"/>
  <c r="AM24" i="12"/>
  <c r="AM23" i="12"/>
  <c r="AM14" i="12"/>
  <c r="AM13" i="12"/>
  <c r="AD15" i="1"/>
  <c r="AO28" i="2"/>
  <c r="AO18" i="9" s="1"/>
  <c r="AG6" i="11"/>
  <c r="AG8" i="11" s="1"/>
  <c r="AF8" i="11"/>
  <c r="AO29" i="8"/>
  <c r="AO30" i="8" s="1"/>
  <c r="AN30" i="8"/>
  <c r="AN25" i="8"/>
  <c r="AN26" i="8" s="1"/>
  <c r="AO38" i="8"/>
  <c r="AN29" i="6"/>
  <c r="AN12" i="9" s="1"/>
  <c r="AO27" i="6"/>
  <c r="AN27" i="6"/>
  <c r="AO21" i="6"/>
  <c r="AO9" i="9" s="1"/>
  <c r="AN21" i="6"/>
  <c r="AN9" i="9" s="1"/>
  <c r="AJ21" i="6"/>
  <c r="AN7" i="6"/>
  <c r="AM7" i="6"/>
  <c r="AM6" i="6"/>
  <c r="AO43" i="5"/>
  <c r="AN43" i="5"/>
  <c r="AN44" i="5" s="1"/>
  <c r="AN32" i="5"/>
  <c r="AN5" i="2" s="1"/>
  <c r="AO35" i="5"/>
  <c r="AO31" i="5"/>
  <c r="AO30" i="5"/>
  <c r="AO29" i="5"/>
  <c r="AO38" i="3"/>
  <c r="AO35" i="3"/>
  <c r="AN37" i="3"/>
  <c r="AN5" i="3"/>
  <c r="AN17" i="3"/>
  <c r="I4" i="14"/>
  <c r="AG12" i="11"/>
  <c r="AG14" i="11" s="1"/>
  <c r="AN19" i="9"/>
  <c r="AN18" i="9"/>
  <c r="AO11" i="9"/>
  <c r="AO41" i="8"/>
  <c r="AN41" i="8"/>
  <c r="AO40" i="8"/>
  <c r="AN40" i="8"/>
  <c r="AO39" i="8"/>
  <c r="AN39" i="8"/>
  <c r="AN38" i="8"/>
  <c r="AO34" i="8"/>
  <c r="AN34" i="8"/>
  <c r="AO33" i="8"/>
  <c r="AN33" i="8"/>
  <c r="AO25" i="8"/>
  <c r="AO26" i="8" s="1"/>
  <c r="AO20" i="8"/>
  <c r="AN20" i="8"/>
  <c r="AO19" i="8"/>
  <c r="AN19" i="8"/>
  <c r="AO18" i="8"/>
  <c r="AN18" i="8"/>
  <c r="AO17" i="8"/>
  <c r="AN17" i="8"/>
  <c r="AO13" i="8"/>
  <c r="AN13" i="8"/>
  <c r="AO12" i="8"/>
  <c r="AN12" i="8"/>
  <c r="AO11" i="8"/>
  <c r="AN11" i="8"/>
  <c r="AO7" i="8"/>
  <c r="AN7" i="8"/>
  <c r="AO6" i="8"/>
  <c r="AN6" i="8"/>
  <c r="AO5" i="8"/>
  <c r="AN5" i="8"/>
  <c r="AN8" i="8" s="1"/>
  <c r="AO29" i="6"/>
  <c r="AO24" i="6"/>
  <c r="AN24" i="6"/>
  <c r="AN11" i="9" s="1"/>
  <c r="AO16" i="6"/>
  <c r="AN16" i="6"/>
  <c r="AO12" i="6"/>
  <c r="AN12" i="6"/>
  <c r="AO8" i="6"/>
  <c r="AO7" i="9" s="1"/>
  <c r="AN8" i="6"/>
  <c r="AN7" i="9" s="1"/>
  <c r="AO7" i="6"/>
  <c r="AO18" i="7"/>
  <c r="AN18" i="7"/>
  <c r="AO11" i="7"/>
  <c r="AN11" i="7"/>
  <c r="AO4" i="7"/>
  <c r="AN4" i="7"/>
  <c r="AN42" i="5"/>
  <c r="AN41" i="5"/>
  <c r="AO36" i="5"/>
  <c r="AO5" i="5"/>
  <c r="AN5" i="5"/>
  <c r="AN7" i="4"/>
  <c r="AN5" i="4"/>
  <c r="AO25" i="3"/>
  <c r="AO5" i="4" s="1"/>
  <c r="AO33" i="3"/>
  <c r="AO32" i="3"/>
  <c r="AO31" i="3"/>
  <c r="AN30" i="3"/>
  <c r="AO29" i="3"/>
  <c r="AO26" i="3"/>
  <c r="AO7" i="4" s="1"/>
  <c r="AO17" i="3"/>
  <c r="AO5" i="3"/>
  <c r="AO17" i="2"/>
  <c r="AN17" i="2"/>
  <c r="AD54" i="1"/>
  <c r="AD56" i="1" s="1"/>
  <c r="AD45" i="1"/>
  <c r="AD38" i="1"/>
  <c r="H4" i="14"/>
  <c r="G4" i="14"/>
  <c r="F4" i="14"/>
  <c r="E4" i="14"/>
  <c r="C4" i="14"/>
  <c r="B4" i="14"/>
  <c r="AF12" i="11"/>
  <c r="AF14" i="11" s="1"/>
  <c r="AC53" i="1"/>
  <c r="AC50" i="1"/>
  <c r="AM20" i="3"/>
  <c r="AM36" i="3"/>
  <c r="AO36" i="3" s="1"/>
  <c r="AL22" i="12"/>
  <c r="AL12" i="12"/>
  <c r="AM28" i="3"/>
  <c r="AO28" i="3" s="1"/>
  <c r="AL41" i="12"/>
  <c r="AL43" i="12" s="1"/>
  <c r="AM30" i="8"/>
  <c r="AM27" i="6"/>
  <c r="AO34" i="7" l="1"/>
  <c r="AN35" i="8"/>
  <c r="AN34" i="7"/>
  <c r="AO29" i="7"/>
  <c r="AO31" i="7"/>
  <c r="AN14" i="8"/>
  <c r="AO35" i="8"/>
  <c r="AO28" i="7"/>
  <c r="AM12" i="12"/>
  <c r="AO38" i="5"/>
  <c r="AM33" i="12"/>
  <c r="AO32" i="5"/>
  <c r="AM37" i="3"/>
  <c r="AO8" i="8"/>
  <c r="AO14" i="8"/>
  <c r="AN34" i="6"/>
  <c r="AN26" i="7"/>
  <c r="AN11" i="2"/>
  <c r="AN4" i="5" s="1"/>
  <c r="AN6" i="5" s="1"/>
  <c r="AM22" i="12"/>
  <c r="AO42" i="8"/>
  <c r="AO34" i="6"/>
  <c r="AO12" i="9"/>
  <c r="AO14" i="9" s="1"/>
  <c r="AN42" i="8"/>
  <c r="AN14" i="9"/>
  <c r="AO21" i="8"/>
  <c r="AN21" i="8"/>
  <c r="AN17" i="7"/>
  <c r="AO30" i="7"/>
  <c r="AO10" i="7"/>
  <c r="AN28" i="7"/>
  <c r="AN32" i="7"/>
  <c r="AN10" i="7"/>
  <c r="AN29" i="7"/>
  <c r="AO32" i="7"/>
  <c r="AO17" i="7"/>
  <c r="AN30" i="7"/>
  <c r="AO26" i="7"/>
  <c r="AO27" i="7"/>
  <c r="AN27" i="7"/>
  <c r="AO5" i="2"/>
  <c r="AO8" i="2"/>
  <c r="AO11" i="2" s="1"/>
  <c r="AO4" i="5" s="1"/>
  <c r="AO6" i="5" s="1"/>
  <c r="AO41" i="5"/>
  <c r="AO42" i="5"/>
  <c r="AL32" i="12"/>
  <c r="AO30" i="3"/>
  <c r="AD46" i="1"/>
  <c r="AD57" i="1" s="1"/>
  <c r="AM41" i="8"/>
  <c r="AM43" i="5"/>
  <c r="AM32" i="5"/>
  <c r="AC15" i="1"/>
  <c r="AC38" i="1"/>
  <c r="AC25" i="1"/>
  <c r="AM24" i="6"/>
  <c r="AM21" i="6"/>
  <c r="AN35" i="7" l="1"/>
  <c r="AM32" i="12"/>
  <c r="AO44" i="5"/>
  <c r="AN18" i="2"/>
  <c r="AN20" i="2" s="1"/>
  <c r="AN22" i="2" s="1"/>
  <c r="AN4" i="3" s="1"/>
  <c r="AN24" i="3" s="1"/>
  <c r="AM39" i="12" s="1"/>
  <c r="AO35" i="7"/>
  <c r="AC26" i="1"/>
  <c r="AC54" i="1"/>
  <c r="AC56" i="1" s="1"/>
  <c r="AC45" i="1"/>
  <c r="AC46" i="1" s="1"/>
  <c r="AN24" i="2" l="1"/>
  <c r="AN33" i="2" s="1"/>
  <c r="AN5" i="9"/>
  <c r="AN15" i="9" s="1"/>
  <c r="AN23" i="9" s="1"/>
  <c r="AN4" i="6"/>
  <c r="AN35" i="6" s="1"/>
  <c r="AN4" i="4"/>
  <c r="AN8" i="4" s="1"/>
  <c r="AN39" i="3"/>
  <c r="AO18" i="2"/>
  <c r="AC57" i="1"/>
  <c r="AL20" i="12"/>
  <c r="AL30" i="12" s="1"/>
  <c r="AL19" i="12"/>
  <c r="AL29" i="12" s="1"/>
  <c r="AL18" i="12"/>
  <c r="AL28" i="12" s="1"/>
  <c r="AM11" i="9"/>
  <c r="AM40" i="8"/>
  <c r="AM39" i="8"/>
  <c r="AM38" i="8"/>
  <c r="AM34" i="8"/>
  <c r="AM33" i="8"/>
  <c r="AM25" i="8"/>
  <c r="AM26" i="8" s="1"/>
  <c r="AM20" i="8"/>
  <c r="AM19" i="8"/>
  <c r="AM18" i="8"/>
  <c r="AM17" i="8"/>
  <c r="AM13" i="8"/>
  <c r="AM12" i="8"/>
  <c r="AM11" i="8"/>
  <c r="AM7" i="8"/>
  <c r="AM6" i="8"/>
  <c r="AM5" i="8"/>
  <c r="AM25" i="7"/>
  <c r="AM23" i="7"/>
  <c r="AM22" i="7"/>
  <c r="AM31" i="7" s="1"/>
  <c r="AM21" i="7"/>
  <c r="AM20" i="7"/>
  <c r="AM19" i="7"/>
  <c r="AM18" i="7"/>
  <c r="AM16" i="7"/>
  <c r="AM14" i="7"/>
  <c r="AM13" i="7"/>
  <c r="AM12" i="7"/>
  <c r="AM11" i="7"/>
  <c r="AM9" i="7"/>
  <c r="AM8" i="7"/>
  <c r="AM7" i="7"/>
  <c r="AM6" i="7"/>
  <c r="AM5" i="7"/>
  <c r="AM4" i="7"/>
  <c r="AM29" i="6"/>
  <c r="AM12" i="9" s="1"/>
  <c r="AM9" i="9"/>
  <c r="AM16" i="6"/>
  <c r="AM34" i="6" s="1"/>
  <c r="AM12" i="6"/>
  <c r="AM8" i="6"/>
  <c r="AM7" i="9" s="1"/>
  <c r="AM42" i="5"/>
  <c r="AM41" i="5"/>
  <c r="AM8" i="2"/>
  <c r="AM5" i="2"/>
  <c r="AM24" i="5"/>
  <c r="AM23" i="5"/>
  <c r="AM22" i="5"/>
  <c r="AM19" i="5"/>
  <c r="AM13" i="5"/>
  <c r="AM5" i="5"/>
  <c r="AM7" i="4"/>
  <c r="AM5" i="4"/>
  <c r="AM5" i="3"/>
  <c r="AM30" i="3"/>
  <c r="AM17" i="3"/>
  <c r="AM17" i="2"/>
  <c r="AL30" i="8"/>
  <c r="AL27" i="6"/>
  <c r="AL5" i="3"/>
  <c r="AL17" i="2"/>
  <c r="AB54" i="1"/>
  <c r="AB56" i="1" s="1"/>
  <c r="AB45" i="1"/>
  <c r="AB38" i="1"/>
  <c r="AB46" i="1" s="1"/>
  <c r="AB25" i="1"/>
  <c r="AL31" i="7"/>
  <c r="AL21" i="6"/>
  <c r="AM34" i="7" l="1"/>
  <c r="AM44" i="5"/>
  <c r="AN32" i="2"/>
  <c r="AN22" i="9"/>
  <c r="AO20" i="2"/>
  <c r="AO22" i="2" s="1"/>
  <c r="AO4" i="6" s="1"/>
  <c r="AM17" i="7"/>
  <c r="AM8" i="8"/>
  <c r="AM21" i="8"/>
  <c r="AM27" i="7"/>
  <c r="AM26" i="7"/>
  <c r="AM28" i="7"/>
  <c r="AM29" i="7"/>
  <c r="AM14" i="8"/>
  <c r="AM35" i="8"/>
  <c r="AL27" i="12"/>
  <c r="AM25" i="5"/>
  <c r="AM11" i="2"/>
  <c r="AM18" i="2" s="1"/>
  <c r="AM20" i="2" s="1"/>
  <c r="AM22" i="2" s="1"/>
  <c r="AM5" i="9" s="1"/>
  <c r="AM42" i="8"/>
  <c r="AM14" i="9"/>
  <c r="AM30" i="7"/>
  <c r="AM10" i="7"/>
  <c r="AB57" i="1"/>
  <c r="AL17" i="12"/>
  <c r="AM32" i="7"/>
  <c r="AL17" i="3"/>
  <c r="AE12" i="11"/>
  <c r="AE14" i="11" s="1"/>
  <c r="AL6" i="6"/>
  <c r="AO4" i="3" l="1"/>
  <c r="AO24" i="3" s="1"/>
  <c r="AO4" i="4" s="1"/>
  <c r="AO8" i="4" s="1"/>
  <c r="AO35" i="6"/>
  <c r="AO5" i="9"/>
  <c r="AO15" i="9" s="1"/>
  <c r="AO24" i="2"/>
  <c r="AO32" i="2" s="1"/>
  <c r="AM35" i="7"/>
  <c r="AM4" i="5"/>
  <c r="AM6" i="5" s="1"/>
  <c r="AM15" i="9"/>
  <c r="AM24" i="2"/>
  <c r="AM4" i="3"/>
  <c r="AM24" i="3" s="1"/>
  <c r="AM4" i="6"/>
  <c r="AM35" i="6" s="1"/>
  <c r="AM37" i="12" s="1"/>
  <c r="AK24" i="12"/>
  <c r="AK23" i="12"/>
  <c r="AK14" i="12"/>
  <c r="AK13" i="12"/>
  <c r="AK41" i="12"/>
  <c r="AK43" i="12" s="1"/>
  <c r="AH8" i="12"/>
  <c r="AJ7" i="12"/>
  <c r="AM23" i="9" l="1"/>
  <c r="AM22" i="9"/>
  <c r="AM39" i="3"/>
  <c r="AL39" i="12"/>
  <c r="AK12" i="12"/>
  <c r="AM33" i="2"/>
  <c r="AM32" i="2"/>
  <c r="AK34" i="12"/>
  <c r="AL5" i="5"/>
  <c r="AK22" i="12"/>
  <c r="AK20" i="12"/>
  <c r="AK30" i="12" s="1"/>
  <c r="AK19" i="12"/>
  <c r="AK18" i="12"/>
  <c r="AK28" i="12" s="1"/>
  <c r="AK33" i="12"/>
  <c r="AL19" i="9"/>
  <c r="AL18" i="9"/>
  <c r="AL41" i="8"/>
  <c r="AL40" i="8"/>
  <c r="AL39" i="8"/>
  <c r="AL38" i="8"/>
  <c r="AL34" i="8"/>
  <c r="AL33" i="8"/>
  <c r="AL25" i="8"/>
  <c r="AL26" i="8" s="1"/>
  <c r="AL20" i="8"/>
  <c r="AL19" i="8"/>
  <c r="AL18" i="8"/>
  <c r="AL17" i="8"/>
  <c r="AL13" i="8"/>
  <c r="AL12" i="8"/>
  <c r="AL11" i="8"/>
  <c r="AL7" i="8"/>
  <c r="AL6" i="8"/>
  <c r="AL5" i="8"/>
  <c r="AL25" i="7"/>
  <c r="AL23" i="7"/>
  <c r="AL21" i="7"/>
  <c r="AL20" i="7"/>
  <c r="AL19" i="7"/>
  <c r="AL18" i="7"/>
  <c r="AL16" i="7"/>
  <c r="AL14" i="7"/>
  <c r="AL13" i="7"/>
  <c r="AL12" i="7"/>
  <c r="AL11" i="7"/>
  <c r="AL9" i="7"/>
  <c r="AL8" i="7"/>
  <c r="AL7" i="7"/>
  <c r="AL6" i="7"/>
  <c r="AL5" i="7"/>
  <c r="AL4" i="7"/>
  <c r="AL29" i="6"/>
  <c r="AL12" i="9" s="1"/>
  <c r="AL24" i="6"/>
  <c r="AL11" i="9" s="1"/>
  <c r="AL9" i="9"/>
  <c r="AL16" i="6"/>
  <c r="AL12" i="6"/>
  <c r="AL8" i="6"/>
  <c r="AL7" i="9" s="1"/>
  <c r="AL7" i="6"/>
  <c r="AL42" i="5"/>
  <c r="AL41" i="5"/>
  <c r="AL38" i="5"/>
  <c r="AL8" i="2" s="1"/>
  <c r="AL32" i="5"/>
  <c r="AL5" i="2" s="1"/>
  <c r="AL7" i="4"/>
  <c r="AL5" i="4"/>
  <c r="AL30" i="3"/>
  <c r="AJ12" i="12"/>
  <c r="AK33" i="2"/>
  <c r="AK41" i="5"/>
  <c r="AA25" i="1"/>
  <c r="AO34" i="3"/>
  <c r="AJ41" i="12"/>
  <c r="AJ24" i="12"/>
  <c r="AJ23" i="12"/>
  <c r="AK42" i="5"/>
  <c r="AK38" i="5"/>
  <c r="AK32" i="5"/>
  <c r="AK5" i="2" s="1"/>
  <c r="AO37" i="3" l="1"/>
  <c r="AO39" i="3" s="1"/>
  <c r="AK32" i="12"/>
  <c r="AK17" i="12"/>
  <c r="AM4" i="4"/>
  <c r="AM8" i="4" s="1"/>
  <c r="AL35" i="8"/>
  <c r="AL14" i="9"/>
  <c r="AL34" i="6"/>
  <c r="AK29" i="12"/>
  <c r="AK27" i="12" s="1"/>
  <c r="AL11" i="2"/>
  <c r="AL4" i="5" s="1"/>
  <c r="AL6" i="5" s="1"/>
  <c r="AL27" i="7"/>
  <c r="AL32" i="7"/>
  <c r="AL42" i="8"/>
  <c r="AL21" i="8"/>
  <c r="AL30" i="7"/>
  <c r="AL26" i="7"/>
  <c r="AL17" i="7"/>
  <c r="AL14" i="8"/>
  <c r="AL28" i="7"/>
  <c r="AL29" i="7"/>
  <c r="AL34" i="7"/>
  <c r="AL8" i="8"/>
  <c r="AL10" i="7"/>
  <c r="AL44" i="5"/>
  <c r="AK44" i="5"/>
  <c r="AJ43" i="12"/>
  <c r="AJ22" i="12"/>
  <c r="AJ32" i="12" s="1"/>
  <c r="AL18" i="2" l="1"/>
  <c r="AL20" i="2" s="1"/>
  <c r="AL22" i="2" s="1"/>
  <c r="AL5" i="9" s="1"/>
  <c r="AL15" i="9" s="1"/>
  <c r="AL35" i="7"/>
  <c r="AK19" i="9"/>
  <c r="AK18" i="9"/>
  <c r="AK21" i="6"/>
  <c r="AK9" i="9" s="1"/>
  <c r="AK16" i="6"/>
  <c r="AK12" i="6"/>
  <c r="AK8" i="6"/>
  <c r="AK7" i="9" s="1"/>
  <c r="AK6" i="5"/>
  <c r="AK11" i="2"/>
  <c r="AK17" i="2"/>
  <c r="AA54" i="1"/>
  <c r="AA56" i="1" s="1"/>
  <c r="AA45" i="1"/>
  <c r="AA38" i="1"/>
  <c r="AJ20" i="12"/>
  <c r="AJ30" i="12" s="1"/>
  <c r="AJ19" i="12"/>
  <c r="AJ29" i="12" s="1"/>
  <c r="AJ18" i="12"/>
  <c r="AK41" i="8"/>
  <c r="AK40" i="8"/>
  <c r="AK39" i="8"/>
  <c r="AK38" i="8"/>
  <c r="AK34" i="8"/>
  <c r="AK33" i="8"/>
  <c r="AK25" i="8"/>
  <c r="AK26" i="8" s="1"/>
  <c r="AK20" i="8"/>
  <c r="AK19" i="8"/>
  <c r="AK18" i="8"/>
  <c r="AK17" i="8"/>
  <c r="AK13" i="8"/>
  <c r="AK12" i="8"/>
  <c r="AK11" i="8"/>
  <c r="AK7" i="8"/>
  <c r="AK6" i="8"/>
  <c r="AK5" i="8"/>
  <c r="AK25" i="7"/>
  <c r="AK23" i="7"/>
  <c r="AK22" i="7"/>
  <c r="AK31" i="7" s="1"/>
  <c r="AK21" i="7"/>
  <c r="AK20" i="7"/>
  <c r="AK19" i="7"/>
  <c r="AK18" i="7"/>
  <c r="AK16" i="7"/>
  <c r="AK14" i="7"/>
  <c r="AK13" i="7"/>
  <c r="AK12" i="7"/>
  <c r="AK11" i="7"/>
  <c r="AK9" i="7"/>
  <c r="AK8" i="7"/>
  <c r="AK7" i="7"/>
  <c r="AK6" i="7"/>
  <c r="AK5" i="7"/>
  <c r="AK4" i="7"/>
  <c r="AK29" i="6"/>
  <c r="AK12" i="9" s="1"/>
  <c r="AK24" i="6"/>
  <c r="AK11" i="9" s="1"/>
  <c r="AK7" i="6"/>
  <c r="AK6" i="6"/>
  <c r="AK7" i="4"/>
  <c r="AK5" i="4"/>
  <c r="AK30" i="3"/>
  <c r="AK17" i="3"/>
  <c r="AK5" i="3"/>
  <c r="AL4" i="6" l="1"/>
  <c r="AL24" i="2"/>
  <c r="AL33" i="2" s="1"/>
  <c r="AL4" i="3"/>
  <c r="AL24" i="3" s="1"/>
  <c r="AL39" i="3" s="1"/>
  <c r="AL23" i="9"/>
  <c r="AL22" i="9"/>
  <c r="AA46" i="1"/>
  <c r="AA57" i="1" s="1"/>
  <c r="AJ17" i="12"/>
  <c r="AJ28" i="12"/>
  <c r="AJ27" i="12" s="1"/>
  <c r="AK14" i="9"/>
  <c r="AK28" i="7"/>
  <c r="AK42" i="8"/>
  <c r="AK18" i="2"/>
  <c r="AK34" i="7"/>
  <c r="AK21" i="8"/>
  <c r="AK32" i="7"/>
  <c r="AK8" i="8"/>
  <c r="AK14" i="8"/>
  <c r="AK35" i="8"/>
  <c r="AK10" i="7"/>
  <c r="AK29" i="7"/>
  <c r="AK30" i="7"/>
  <c r="AK26" i="7"/>
  <c r="AK34" i="6"/>
  <c r="AK27" i="7"/>
  <c r="AK17" i="7"/>
  <c r="AJ21" i="3"/>
  <c r="AJ20" i="3"/>
  <c r="AI21" i="3"/>
  <c r="AI20" i="3"/>
  <c r="AK20" i="2" l="1"/>
  <c r="AK22" i="2" s="1"/>
  <c r="AK24" i="2" s="1"/>
  <c r="AL32" i="2"/>
  <c r="AK39" i="12"/>
  <c r="AL4" i="4"/>
  <c r="AL8" i="4" s="1"/>
  <c r="AL35" i="6"/>
  <c r="AL37" i="12" s="1"/>
  <c r="AK35" i="7"/>
  <c r="AI41" i="12"/>
  <c r="AI24" i="12"/>
  <c r="AI23" i="12"/>
  <c r="AI14" i="12"/>
  <c r="AI13" i="12"/>
  <c r="AC12" i="11"/>
  <c r="AI19" i="9"/>
  <c r="AI18" i="9"/>
  <c r="AJ41" i="8"/>
  <c r="AI41" i="8"/>
  <c r="AJ40" i="8"/>
  <c r="AI40" i="8"/>
  <c r="AJ39" i="8"/>
  <c r="AI39" i="8"/>
  <c r="AJ38" i="8"/>
  <c r="AI38" i="8"/>
  <c r="AJ34" i="8"/>
  <c r="AI34" i="8"/>
  <c r="AJ33" i="8"/>
  <c r="AI33" i="8"/>
  <c r="AJ25" i="8"/>
  <c r="AJ26" i="8" s="1"/>
  <c r="AI25" i="8"/>
  <c r="AI26" i="8" s="1"/>
  <c r="AJ20" i="8"/>
  <c r="AI20" i="8"/>
  <c r="AJ19" i="8"/>
  <c r="AI19" i="8"/>
  <c r="AJ18" i="8"/>
  <c r="AI18" i="8"/>
  <c r="AJ17" i="8"/>
  <c r="AI17" i="8"/>
  <c r="AJ13" i="8"/>
  <c r="AI13" i="8"/>
  <c r="AJ12" i="8"/>
  <c r="AI12" i="8"/>
  <c r="AJ11" i="8"/>
  <c r="AI11" i="8"/>
  <c r="AJ7" i="8"/>
  <c r="AI7" i="8"/>
  <c r="AJ6" i="8"/>
  <c r="AI6" i="8"/>
  <c r="AJ5" i="8"/>
  <c r="AI5" i="8"/>
  <c r="AJ25" i="7"/>
  <c r="AI25" i="7"/>
  <c r="AJ23" i="7"/>
  <c r="AI23" i="7"/>
  <c r="AJ22" i="7"/>
  <c r="AJ31" i="7" s="1"/>
  <c r="AI22" i="7"/>
  <c r="AI31" i="7" s="1"/>
  <c r="AJ21" i="7"/>
  <c r="AI21" i="7"/>
  <c r="AJ20" i="7"/>
  <c r="AI20" i="7"/>
  <c r="AJ19" i="7"/>
  <c r="AI19" i="7"/>
  <c r="AJ18" i="7"/>
  <c r="AI18" i="7"/>
  <c r="AJ16" i="7"/>
  <c r="AI16" i="7"/>
  <c r="AJ14" i="7"/>
  <c r="AI14" i="7"/>
  <c r="AJ13" i="7"/>
  <c r="AI13" i="7"/>
  <c r="AJ12" i="7"/>
  <c r="AI12" i="7"/>
  <c r="AJ11" i="7"/>
  <c r="AI11" i="7"/>
  <c r="AJ9" i="7"/>
  <c r="AJ32" i="7" s="1"/>
  <c r="AI9" i="7"/>
  <c r="AI32" i="7" s="1"/>
  <c r="AJ8" i="7"/>
  <c r="AI8" i="7"/>
  <c r="AJ7" i="7"/>
  <c r="AI7" i="7"/>
  <c r="AJ6" i="7"/>
  <c r="AI6" i="7"/>
  <c r="AJ5" i="7"/>
  <c r="AI5" i="7"/>
  <c r="AJ4" i="7"/>
  <c r="AI4" i="7"/>
  <c r="AI21" i="6"/>
  <c r="AI9" i="9" s="1"/>
  <c r="AJ29" i="6"/>
  <c r="AJ12" i="9" s="1"/>
  <c r="AI29" i="6"/>
  <c r="AI12" i="9" s="1"/>
  <c r="AJ24" i="6"/>
  <c r="AJ11" i="9" s="1"/>
  <c r="AI24" i="6"/>
  <c r="AI11" i="9" s="1"/>
  <c r="AJ9" i="9"/>
  <c r="AJ16" i="6"/>
  <c r="AI16" i="6"/>
  <c r="AJ12" i="6"/>
  <c r="AI12" i="6"/>
  <c r="AJ8" i="6"/>
  <c r="AJ7" i="9" s="1"/>
  <c r="AI8" i="6"/>
  <c r="AI7" i="9" s="1"/>
  <c r="AJ7" i="6"/>
  <c r="AI7" i="6"/>
  <c r="AJ5" i="5"/>
  <c r="AE5" i="5"/>
  <c r="AC5" i="5"/>
  <c r="AB5" i="5"/>
  <c r="AA5" i="5"/>
  <c r="AH5" i="5"/>
  <c r="AG5" i="5"/>
  <c r="AF5" i="5"/>
  <c r="AD5" i="5"/>
  <c r="AI5" i="5"/>
  <c r="AI7" i="4"/>
  <c r="AH7" i="4"/>
  <c r="AI5" i="4"/>
  <c r="AH5" i="4"/>
  <c r="AI42" i="5"/>
  <c r="AI41" i="5"/>
  <c r="AI38" i="5"/>
  <c r="AI8" i="2" s="1"/>
  <c r="AJ36" i="5"/>
  <c r="AJ35" i="5"/>
  <c r="AI32" i="5"/>
  <c r="AI5" i="2" s="1"/>
  <c r="AJ30" i="5"/>
  <c r="AJ29" i="5"/>
  <c r="AJ5" i="3"/>
  <c r="AJ34" i="3"/>
  <c r="AI5" i="3"/>
  <c r="AD5" i="3"/>
  <c r="AJ38" i="3"/>
  <c r="AI37" i="3"/>
  <c r="AJ35" i="3"/>
  <c r="AJ33" i="3"/>
  <c r="AJ32" i="3"/>
  <c r="AJ31" i="3"/>
  <c r="AI30" i="3"/>
  <c r="AJ29" i="3"/>
  <c r="AJ28" i="3"/>
  <c r="AJ26" i="3"/>
  <c r="AJ7" i="4" s="1"/>
  <c r="AJ25" i="3"/>
  <c r="AJ5" i="4" s="1"/>
  <c r="AJ17" i="3"/>
  <c r="AI17" i="3"/>
  <c r="AJ17" i="2"/>
  <c r="AI17" i="2"/>
  <c r="Z54" i="1"/>
  <c r="Z56" i="1" s="1"/>
  <c r="Z45" i="1"/>
  <c r="Z38" i="1"/>
  <c r="Z25" i="1"/>
  <c r="AJ34" i="6" l="1"/>
  <c r="AK5" i="9"/>
  <c r="AK15" i="9" s="1"/>
  <c r="AK23" i="9" s="1"/>
  <c r="AK4" i="3"/>
  <c r="AK24" i="3" s="1"/>
  <c r="AJ39" i="12" s="1"/>
  <c r="AK4" i="6"/>
  <c r="AK35" i="6" s="1"/>
  <c r="AK37" i="12" s="1"/>
  <c r="AI34" i="12"/>
  <c r="AI11" i="2"/>
  <c r="AI33" i="12"/>
  <c r="AI22" i="12"/>
  <c r="AJ26" i="7"/>
  <c r="AI21" i="8"/>
  <c r="AJ30" i="7"/>
  <c r="AI14" i="8"/>
  <c r="AI34" i="6"/>
  <c r="AC14" i="11"/>
  <c r="AD4" i="11"/>
  <c r="AE4" i="11" s="1"/>
  <c r="AF4" i="11" s="1"/>
  <c r="AJ21" i="8"/>
  <c r="AJ14" i="9"/>
  <c r="AJ35" i="8"/>
  <c r="AI42" i="8"/>
  <c r="AJ28" i="7"/>
  <c r="AJ14" i="8"/>
  <c r="AJ42" i="8"/>
  <c r="AI14" i="9"/>
  <c r="AI8" i="8"/>
  <c r="AJ17" i="7"/>
  <c r="AJ8" i="8"/>
  <c r="AI35" i="8"/>
  <c r="AJ10" i="7"/>
  <c r="AK32" i="2"/>
  <c r="AI29" i="7"/>
  <c r="AI10" i="7"/>
  <c r="AJ29" i="7"/>
  <c r="AI28" i="7"/>
  <c r="AI34" i="7"/>
  <c r="AJ34" i="7"/>
  <c r="AI30" i="7"/>
  <c r="AI17" i="7"/>
  <c r="AI12" i="12"/>
  <c r="AI43" i="12"/>
  <c r="AI27" i="7"/>
  <c r="AJ27" i="7"/>
  <c r="AI26" i="7"/>
  <c r="AJ41" i="5"/>
  <c r="AJ42" i="5"/>
  <c r="AJ38" i="5"/>
  <c r="AJ8" i="2" s="1"/>
  <c r="AI44" i="5"/>
  <c r="AJ32" i="5"/>
  <c r="AJ5" i="2" s="1"/>
  <c r="AJ30" i="3"/>
  <c r="AJ37" i="3"/>
  <c r="Z46" i="1"/>
  <c r="Z57" i="1" s="1"/>
  <c r="AK4" i="4" l="1"/>
  <c r="AK8" i="4" s="1"/>
  <c r="AK39" i="3"/>
  <c r="AF6" i="11"/>
  <c r="AG4" i="11"/>
  <c r="AK22" i="9"/>
  <c r="AD6" i="11"/>
  <c r="AD8" i="11" s="1"/>
  <c r="AE6" i="11"/>
  <c r="AE8" i="11" s="1"/>
  <c r="AJ11" i="2"/>
  <c r="AJ18" i="2" s="1"/>
  <c r="AI32" i="12"/>
  <c r="AJ44" i="5"/>
  <c r="AJ35" i="7"/>
  <c r="AI35" i="7"/>
  <c r="AI18" i="2"/>
  <c r="AI20" i="2" s="1"/>
  <c r="AI22" i="2" s="1"/>
  <c r="AI4" i="5"/>
  <c r="AI6" i="5" s="1"/>
  <c r="AH41" i="12"/>
  <c r="AH24" i="12"/>
  <c r="AH23" i="12"/>
  <c r="AH20" i="12"/>
  <c r="AH19" i="12"/>
  <c r="AH18" i="12"/>
  <c r="AH14" i="12"/>
  <c r="AH13" i="12"/>
  <c r="AH10" i="12"/>
  <c r="AH9" i="12"/>
  <c r="AB12" i="11"/>
  <c r="AB14" i="11" s="1"/>
  <c r="AH19" i="9"/>
  <c r="AH18" i="9"/>
  <c r="AH41" i="8"/>
  <c r="AH40" i="8"/>
  <c r="AH39" i="8"/>
  <c r="AH38" i="8"/>
  <c r="AH34" i="8"/>
  <c r="AH33" i="8"/>
  <c r="AH25" i="8"/>
  <c r="AH26" i="8" s="1"/>
  <c r="AH20" i="8"/>
  <c r="AH19" i="8"/>
  <c r="AH18" i="8"/>
  <c r="AH17" i="8"/>
  <c r="AH13" i="8"/>
  <c r="AH12" i="8"/>
  <c r="AH11" i="8"/>
  <c r="AH7" i="8"/>
  <c r="AH6" i="8"/>
  <c r="AH5" i="8"/>
  <c r="AH25" i="7"/>
  <c r="AH23" i="7"/>
  <c r="AH22" i="7"/>
  <c r="AH31" i="7" s="1"/>
  <c r="AH21" i="7"/>
  <c r="AH20" i="7"/>
  <c r="AH19" i="7"/>
  <c r="AH18" i="7"/>
  <c r="AH16" i="7"/>
  <c r="AH14" i="7"/>
  <c r="AH13" i="7"/>
  <c r="AH12" i="7"/>
  <c r="AH11" i="7"/>
  <c r="AH9" i="7"/>
  <c r="AH8" i="7"/>
  <c r="AH7" i="7"/>
  <c r="AH6" i="7"/>
  <c r="AH5" i="7"/>
  <c r="AH4" i="7"/>
  <c r="AH12" i="6"/>
  <c r="AH6" i="6"/>
  <c r="AH7" i="6"/>
  <c r="AH8" i="6"/>
  <c r="AH7" i="9" s="1"/>
  <c r="AH37" i="3"/>
  <c r="AH30" i="3"/>
  <c r="AH17" i="3"/>
  <c r="AH5" i="3"/>
  <c r="Y54" i="1"/>
  <c r="Y56" i="1" s="1"/>
  <c r="Y45" i="1"/>
  <c r="Y38" i="1"/>
  <c r="Y25" i="1"/>
  <c r="AH17" i="2"/>
  <c r="AH29" i="6"/>
  <c r="AH12" i="9" s="1"/>
  <c r="AH24" i="6"/>
  <c r="AH11" i="9" s="1"/>
  <c r="AH21" i="6"/>
  <c r="AH9" i="9" s="1"/>
  <c r="AH16" i="6"/>
  <c r="AH42" i="5"/>
  <c r="AH41" i="5"/>
  <c r="AH38" i="5"/>
  <c r="AH32" i="5"/>
  <c r="AH24" i="5"/>
  <c r="AH23" i="5"/>
  <c r="AH22" i="5"/>
  <c r="AH19" i="5"/>
  <c r="AH8" i="2" s="1"/>
  <c r="AH13" i="5"/>
  <c r="AH5" i="2" s="1"/>
  <c r="AG41" i="12"/>
  <c r="AG24" i="12"/>
  <c r="AG23" i="12"/>
  <c r="AG20" i="12"/>
  <c r="AG19" i="12"/>
  <c r="AG18" i="12"/>
  <c r="AG14" i="12"/>
  <c r="AG13" i="12"/>
  <c r="AG10" i="12"/>
  <c r="AG9" i="12"/>
  <c r="AG8" i="12"/>
  <c r="AG19" i="9"/>
  <c r="AG18" i="9"/>
  <c r="AG41" i="8"/>
  <c r="AG40" i="8"/>
  <c r="AG39" i="8"/>
  <c r="AG38" i="8"/>
  <c r="AG34" i="8"/>
  <c r="AG33" i="8"/>
  <c r="AG25" i="8"/>
  <c r="AG26" i="8" s="1"/>
  <c r="AG20" i="8"/>
  <c r="AG19" i="8"/>
  <c r="AG18" i="8"/>
  <c r="AG17" i="8"/>
  <c r="AG13" i="8"/>
  <c r="AG12" i="8"/>
  <c r="AG11" i="8"/>
  <c r="AG7" i="8"/>
  <c r="AG6" i="8"/>
  <c r="AG5" i="8"/>
  <c r="AG25" i="7"/>
  <c r="AG23" i="7"/>
  <c r="AG22" i="7"/>
  <c r="AG31" i="7" s="1"/>
  <c r="AG21" i="7"/>
  <c r="AG20" i="7"/>
  <c r="AG19" i="7"/>
  <c r="AG18" i="7"/>
  <c r="AG16" i="7"/>
  <c r="AG14" i="7"/>
  <c r="AG13" i="7"/>
  <c r="AG12" i="7"/>
  <c r="AG11" i="7"/>
  <c r="AG9" i="7"/>
  <c r="AG8" i="7"/>
  <c r="AG7" i="7"/>
  <c r="AG6" i="7"/>
  <c r="AG5" i="7"/>
  <c r="AG4" i="7"/>
  <c r="AG29" i="6"/>
  <c r="AG12" i="9" s="1"/>
  <c r="AG24" i="6"/>
  <c r="AG11" i="9" s="1"/>
  <c r="AG21" i="6"/>
  <c r="AG9" i="9" s="1"/>
  <c r="AG16" i="6"/>
  <c r="AG12" i="6"/>
  <c r="AG8" i="6"/>
  <c r="AG7" i="9" s="1"/>
  <c r="AG7" i="6"/>
  <c r="AG6" i="6"/>
  <c r="AG7" i="4"/>
  <c r="AG5" i="4"/>
  <c r="X54" i="1"/>
  <c r="X56" i="1" s="1"/>
  <c r="X45" i="1"/>
  <c r="X38" i="1"/>
  <c r="X25" i="1"/>
  <c r="AG37" i="3"/>
  <c r="AG30" i="3"/>
  <c r="AG17" i="3"/>
  <c r="AG5" i="3"/>
  <c r="AG17" i="2"/>
  <c r="AA12" i="11"/>
  <c r="AA14" i="11" s="1"/>
  <c r="AG42" i="5"/>
  <c r="AG41" i="5"/>
  <c r="AG38" i="5"/>
  <c r="AG32" i="5"/>
  <c r="AG24" i="5"/>
  <c r="AG23" i="5"/>
  <c r="AG22" i="5"/>
  <c r="AG19" i="5"/>
  <c r="AG8" i="2" s="1"/>
  <c r="AG13" i="5"/>
  <c r="AG5" i="2" s="1"/>
  <c r="AD24" i="12"/>
  <c r="AC24" i="12"/>
  <c r="AB24" i="12"/>
  <c r="AA24" i="12"/>
  <c r="AD23" i="12"/>
  <c r="AC23" i="12"/>
  <c r="AB23" i="12"/>
  <c r="AA23" i="12"/>
  <c r="AF24" i="12"/>
  <c r="AF23" i="12"/>
  <c r="AD14" i="12"/>
  <c r="AC14" i="12"/>
  <c r="AB14" i="12"/>
  <c r="AA14" i="12"/>
  <c r="Z14" i="12"/>
  <c r="AD13" i="12"/>
  <c r="AC13" i="12"/>
  <c r="AB13" i="12"/>
  <c r="AA13" i="12"/>
  <c r="Z13" i="12"/>
  <c r="AF14" i="12"/>
  <c r="AF13" i="12"/>
  <c r="AF41" i="12"/>
  <c r="AF20" i="12"/>
  <c r="AF19" i="12"/>
  <c r="AF18" i="12"/>
  <c r="AF10" i="12"/>
  <c r="AF9" i="12"/>
  <c r="AF8" i="12"/>
  <c r="AF41" i="8"/>
  <c r="AF40" i="8"/>
  <c r="AF39" i="8"/>
  <c r="AF38" i="8"/>
  <c r="AF34" i="8"/>
  <c r="AF33" i="8"/>
  <c r="AF25" i="8"/>
  <c r="AF26" i="8" s="1"/>
  <c r="AF20" i="8"/>
  <c r="AF19" i="8"/>
  <c r="AF18" i="8"/>
  <c r="AF17" i="8"/>
  <c r="AF13" i="8"/>
  <c r="AF12" i="8"/>
  <c r="AF11" i="8"/>
  <c r="AF7" i="8"/>
  <c r="AF6" i="8"/>
  <c r="AF5" i="8"/>
  <c r="AF25" i="7"/>
  <c r="AF23" i="7"/>
  <c r="AF22" i="7"/>
  <c r="AF31" i="7" s="1"/>
  <c r="AF21" i="7"/>
  <c r="AF20" i="7"/>
  <c r="AF19" i="7"/>
  <c r="AF18" i="7"/>
  <c r="AF16" i="7"/>
  <c r="AF14" i="7"/>
  <c r="AF13" i="7"/>
  <c r="AF12" i="7"/>
  <c r="AF11" i="7"/>
  <c r="AF9" i="7"/>
  <c r="AF8" i="7"/>
  <c r="AF7" i="7"/>
  <c r="AF6" i="7"/>
  <c r="AF5" i="7"/>
  <c r="AF4" i="7"/>
  <c r="AF29" i="6"/>
  <c r="AF12" i="9" s="1"/>
  <c r="AF24" i="6"/>
  <c r="AF11" i="9" s="1"/>
  <c r="AF21" i="6"/>
  <c r="AF9" i="9" s="1"/>
  <c r="AF16" i="6"/>
  <c r="AF12" i="6"/>
  <c r="AF8" i="6"/>
  <c r="AF7" i="9" s="1"/>
  <c r="AF7" i="6"/>
  <c r="AF6" i="6"/>
  <c r="AE36" i="5"/>
  <c r="AE35" i="5"/>
  <c r="AE30" i="5"/>
  <c r="AE14" i="12" s="1"/>
  <c r="AE29" i="5"/>
  <c r="AE13" i="12" s="1"/>
  <c r="AF7" i="4"/>
  <c r="AF5" i="4"/>
  <c r="AF37" i="3"/>
  <c r="AF30" i="3"/>
  <c r="AF17" i="3"/>
  <c r="AF5" i="3"/>
  <c r="W54" i="1"/>
  <c r="W56" i="1" s="1"/>
  <c r="W45" i="1"/>
  <c r="W38" i="1"/>
  <c r="W25" i="1"/>
  <c r="Z12" i="11"/>
  <c r="Z14" i="11" s="1"/>
  <c r="AF17" i="2"/>
  <c r="AF42" i="5"/>
  <c r="AD42" i="5"/>
  <c r="AC42" i="5"/>
  <c r="AB42" i="5"/>
  <c r="AA42" i="5"/>
  <c r="Z42" i="5"/>
  <c r="Y42" i="5"/>
  <c r="X42" i="5"/>
  <c r="W42" i="5"/>
  <c r="V42" i="5"/>
  <c r="U42" i="5"/>
  <c r="T42" i="5"/>
  <c r="S42" i="5"/>
  <c r="R42" i="5"/>
  <c r="Q42" i="5"/>
  <c r="P42" i="5"/>
  <c r="O42" i="5"/>
  <c r="N42" i="5"/>
  <c r="M42" i="5"/>
  <c r="L42" i="5"/>
  <c r="K42" i="5"/>
  <c r="J42" i="5"/>
  <c r="I42" i="5"/>
  <c r="H42" i="5"/>
  <c r="G42" i="5"/>
  <c r="F42" i="5"/>
  <c r="E42" i="5"/>
  <c r="D42" i="5"/>
  <c r="C42" i="5"/>
  <c r="B42" i="5"/>
  <c r="AF41" i="5"/>
  <c r="AD41" i="5"/>
  <c r="AC41" i="5"/>
  <c r="AB41" i="5"/>
  <c r="AA41" i="5"/>
  <c r="Z41" i="5"/>
  <c r="Y41" i="5"/>
  <c r="X41" i="5"/>
  <c r="W41" i="5"/>
  <c r="V41" i="5"/>
  <c r="U41" i="5"/>
  <c r="T41" i="5"/>
  <c r="S41" i="5"/>
  <c r="R41" i="5"/>
  <c r="Q41" i="5"/>
  <c r="P41" i="5"/>
  <c r="O41" i="5"/>
  <c r="N41" i="5"/>
  <c r="M41" i="5"/>
  <c r="L41" i="5"/>
  <c r="K41" i="5"/>
  <c r="J41" i="5"/>
  <c r="I41" i="5"/>
  <c r="H41" i="5"/>
  <c r="G41" i="5"/>
  <c r="F41" i="5"/>
  <c r="E41" i="5"/>
  <c r="D41" i="5"/>
  <c r="C41" i="5"/>
  <c r="B41" i="5"/>
  <c r="AF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F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F24" i="5"/>
  <c r="AF23" i="5"/>
  <c r="AF22" i="5"/>
  <c r="AF19" i="5"/>
  <c r="AF8" i="2" s="1"/>
  <c r="AF13" i="5"/>
  <c r="AF5" i="2" s="1"/>
  <c r="AD41" i="12"/>
  <c r="AD20" i="12"/>
  <c r="AD19" i="12"/>
  <c r="AD18" i="12"/>
  <c r="AD10" i="12"/>
  <c r="AD9" i="12"/>
  <c r="AD8" i="12"/>
  <c r="AD19" i="9"/>
  <c r="AD18" i="9"/>
  <c r="AE41" i="8"/>
  <c r="AD41" i="8"/>
  <c r="AE40" i="8"/>
  <c r="AD40" i="8"/>
  <c r="AE39" i="8"/>
  <c r="AD39" i="8"/>
  <c r="AE38" i="8"/>
  <c r="AD38" i="8"/>
  <c r="AE34" i="8"/>
  <c r="AD34" i="8"/>
  <c r="AE33" i="8"/>
  <c r="AD33" i="8"/>
  <c r="AE25" i="8"/>
  <c r="AE26" i="8" s="1"/>
  <c r="AD25" i="8"/>
  <c r="AD26" i="8" s="1"/>
  <c r="AE20" i="8"/>
  <c r="AD20" i="8"/>
  <c r="AE19" i="8"/>
  <c r="AD19" i="8"/>
  <c r="AE18" i="8"/>
  <c r="AD18" i="8"/>
  <c r="AE17" i="8"/>
  <c r="AD17" i="8"/>
  <c r="AE13" i="8"/>
  <c r="AD13" i="8"/>
  <c r="AE12" i="8"/>
  <c r="AD12" i="8"/>
  <c r="AE11" i="8"/>
  <c r="AD11" i="8"/>
  <c r="AE7" i="8"/>
  <c r="AD7" i="8"/>
  <c r="AE6" i="8"/>
  <c r="AD6" i="8"/>
  <c r="AE5" i="8"/>
  <c r="AD5" i="8"/>
  <c r="AE25" i="7"/>
  <c r="AD25" i="7"/>
  <c r="AE23" i="7"/>
  <c r="AD23" i="7"/>
  <c r="AE22" i="7"/>
  <c r="AE31" i="7" s="1"/>
  <c r="AD22" i="7"/>
  <c r="AD31" i="7" s="1"/>
  <c r="AE21" i="7"/>
  <c r="AD21" i="7"/>
  <c r="AE20" i="7"/>
  <c r="AD20" i="7"/>
  <c r="AE19" i="7"/>
  <c r="AD19" i="7"/>
  <c r="AE18" i="7"/>
  <c r="AD18" i="7"/>
  <c r="AE16" i="7"/>
  <c r="AD16" i="7"/>
  <c r="AE14" i="7"/>
  <c r="AD14" i="7"/>
  <c r="AE13" i="7"/>
  <c r="AD13" i="7"/>
  <c r="AE12" i="7"/>
  <c r="AD12" i="7"/>
  <c r="AE11" i="7"/>
  <c r="AD11" i="7"/>
  <c r="AE9" i="7"/>
  <c r="AE32" i="7" s="1"/>
  <c r="AD9" i="7"/>
  <c r="AD32" i="7" s="1"/>
  <c r="AE8" i="7"/>
  <c r="AD8" i="7"/>
  <c r="AE7" i="7"/>
  <c r="AD7" i="7"/>
  <c r="AE6" i="7"/>
  <c r="AD6" i="7"/>
  <c r="AE5" i="7"/>
  <c r="AD5" i="7"/>
  <c r="AE4" i="7"/>
  <c r="AD4" i="7"/>
  <c r="AE8" i="6"/>
  <c r="AE7" i="9" s="1"/>
  <c r="AE29" i="6"/>
  <c r="AE12" i="9" s="1"/>
  <c r="AD29" i="6"/>
  <c r="AD12" i="9" s="1"/>
  <c r="AE24" i="6"/>
  <c r="AE11" i="9" s="1"/>
  <c r="AD24" i="6"/>
  <c r="AD11" i="9" s="1"/>
  <c r="AE21" i="6"/>
  <c r="AE9" i="9" s="1"/>
  <c r="AD21" i="6"/>
  <c r="AD9" i="9" s="1"/>
  <c r="AE16" i="6"/>
  <c r="AD16" i="6"/>
  <c r="AE12" i="6"/>
  <c r="AD12" i="6"/>
  <c r="AD8" i="6"/>
  <c r="AD7" i="9" s="1"/>
  <c r="AE7" i="6"/>
  <c r="AD7" i="6"/>
  <c r="AE6" i="6"/>
  <c r="AD6" i="6"/>
  <c r="AD7" i="4"/>
  <c r="AD5" i="4"/>
  <c r="V38" i="1"/>
  <c r="V54" i="1"/>
  <c r="V56" i="1" s="1"/>
  <c r="V45" i="1"/>
  <c r="V25" i="1"/>
  <c r="AE38" i="3"/>
  <c r="AE34" i="3"/>
  <c r="AE31" i="3"/>
  <c r="AD37" i="3"/>
  <c r="AE35" i="3"/>
  <c r="AE33" i="3"/>
  <c r="AE32" i="3"/>
  <c r="AD30" i="3"/>
  <c r="AE29" i="3"/>
  <c r="AE28" i="3"/>
  <c r="AE26" i="3"/>
  <c r="AE7" i="4" s="1"/>
  <c r="AE25" i="3"/>
  <c r="AE5" i="4" s="1"/>
  <c r="AE17" i="3"/>
  <c r="AD17" i="3"/>
  <c r="AE5" i="3"/>
  <c r="Y12" i="11"/>
  <c r="Y14" i="11" s="1"/>
  <c r="AE17" i="2"/>
  <c r="AD17" i="2"/>
  <c r="AO29" i="2" l="1"/>
  <c r="AO19" i="9" s="1"/>
  <c r="AJ4" i="5"/>
  <c r="AJ6" i="5" s="1"/>
  <c r="AH32" i="7"/>
  <c r="AH8" i="8"/>
  <c r="AG35" i="8"/>
  <c r="AH35" i="8"/>
  <c r="AH28" i="7"/>
  <c r="AF34" i="7"/>
  <c r="AH14" i="8"/>
  <c r="AJ20" i="2"/>
  <c r="AJ22" i="2" s="1"/>
  <c r="AC22" i="12"/>
  <c r="AC34" i="12"/>
  <c r="Y46" i="1"/>
  <c r="Y57" i="1" s="1"/>
  <c r="AH34" i="6"/>
  <c r="AI4" i="6"/>
  <c r="AI35" i="6" s="1"/>
  <c r="AI37" i="12" s="1"/>
  <c r="AI5" i="9"/>
  <c r="AI15" i="9" s="1"/>
  <c r="AI4" i="3"/>
  <c r="AI24" i="3" s="1"/>
  <c r="AI39" i="12" s="1"/>
  <c r="AI24" i="2"/>
  <c r="AI33" i="2" s="1"/>
  <c r="AH42" i="8"/>
  <c r="AE14" i="8"/>
  <c r="AE35" i="8"/>
  <c r="AG8" i="8"/>
  <c r="AH21" i="8"/>
  <c r="AH29" i="7"/>
  <c r="AF32" i="7"/>
  <c r="AH17" i="7"/>
  <c r="AH30" i="7"/>
  <c r="AF17" i="7"/>
  <c r="AG29" i="7"/>
  <c r="AG30" i="7"/>
  <c r="AH10" i="7"/>
  <c r="AH34" i="7"/>
  <c r="AH26" i="7"/>
  <c r="AH14" i="9"/>
  <c r="AA34" i="12"/>
  <c r="AA22" i="12"/>
  <c r="AH22" i="12"/>
  <c r="AH30" i="12"/>
  <c r="Z12" i="12"/>
  <c r="AB33" i="12"/>
  <c r="AH33" i="12"/>
  <c r="AG11" i="2"/>
  <c r="AG22" i="12"/>
  <c r="AE38" i="5"/>
  <c r="AH12" i="12"/>
  <c r="AF34" i="12"/>
  <c r="AD22" i="12"/>
  <c r="AH28" i="12"/>
  <c r="U44" i="5"/>
  <c r="AH44" i="5"/>
  <c r="AH17" i="12"/>
  <c r="AH29" i="12"/>
  <c r="AG28" i="12"/>
  <c r="AH11" i="2"/>
  <c r="AG29" i="12"/>
  <c r="AG30" i="12"/>
  <c r="AH34" i="12"/>
  <c r="AE42" i="5"/>
  <c r="AC33" i="12"/>
  <c r="V46" i="1"/>
  <c r="V57" i="1" s="1"/>
  <c r="AH27" i="7"/>
  <c r="AG33" i="12"/>
  <c r="AG34" i="12"/>
  <c r="AB34" i="12"/>
  <c r="AG17" i="12"/>
  <c r="AH7" i="12"/>
  <c r="AH43" i="12" s="1"/>
  <c r="AG14" i="8"/>
  <c r="AE28" i="7"/>
  <c r="AG28" i="7"/>
  <c r="AG34" i="7"/>
  <c r="AG26" i="7"/>
  <c r="AE37" i="3"/>
  <c r="AG14" i="9"/>
  <c r="AG17" i="7"/>
  <c r="AE30" i="7"/>
  <c r="AE42" i="8"/>
  <c r="AF29" i="7"/>
  <c r="AF8" i="8"/>
  <c r="AD10" i="7"/>
  <c r="AG10" i="7"/>
  <c r="AG42" i="8"/>
  <c r="AG21" i="8"/>
  <c r="AD14" i="8"/>
  <c r="AG32" i="7"/>
  <c r="AG44" i="5"/>
  <c r="AH25" i="5"/>
  <c r="AG25" i="5"/>
  <c r="AD33" i="12"/>
  <c r="AG7" i="12"/>
  <c r="AG43" i="12" s="1"/>
  <c r="AG12" i="12"/>
  <c r="AF12" i="12"/>
  <c r="AF42" i="8"/>
  <c r="AD35" i="8"/>
  <c r="AD42" i="8"/>
  <c r="AF14" i="8"/>
  <c r="AF35" i="8"/>
  <c r="AE26" i="7"/>
  <c r="AG27" i="7"/>
  <c r="AG34" i="6"/>
  <c r="AE14" i="9"/>
  <c r="AF14" i="9"/>
  <c r="AF30" i="7"/>
  <c r="AF26" i="7"/>
  <c r="AD14" i="9"/>
  <c r="AD34" i="7"/>
  <c r="AE10" i="7"/>
  <c r="AE29" i="7"/>
  <c r="AE17" i="7"/>
  <c r="AE34" i="7"/>
  <c r="AE8" i="8"/>
  <c r="AD21" i="8"/>
  <c r="AF10" i="7"/>
  <c r="AD29" i="7"/>
  <c r="AD28" i="7"/>
  <c r="AD30" i="7"/>
  <c r="AD26" i="7"/>
  <c r="AD8" i="8"/>
  <c r="AE21" i="8"/>
  <c r="AF28" i="7"/>
  <c r="AF21" i="8"/>
  <c r="X46" i="1"/>
  <c r="X57" i="1" s="1"/>
  <c r="AE30" i="3"/>
  <c r="AF27" i="7"/>
  <c r="AF11" i="2"/>
  <c r="AD34" i="12"/>
  <c r="AE32" i="5"/>
  <c r="AF22" i="12"/>
  <c r="AC12" i="12"/>
  <c r="AB22" i="12"/>
  <c r="AF33" i="12"/>
  <c r="AA12" i="12"/>
  <c r="AE12" i="12"/>
  <c r="AE23" i="12"/>
  <c r="AD12" i="12"/>
  <c r="AE24" i="12"/>
  <c r="AE34" i="12" s="1"/>
  <c r="AB12" i="12"/>
  <c r="AA33" i="12"/>
  <c r="AD29" i="12"/>
  <c r="AF29" i="12"/>
  <c r="AF30" i="12"/>
  <c r="AF17" i="12"/>
  <c r="AF7" i="12"/>
  <c r="AF43" i="12" s="1"/>
  <c r="AF28" i="12"/>
  <c r="AF34" i="6"/>
  <c r="AE41" i="5"/>
  <c r="W46" i="1"/>
  <c r="W57" i="1" s="1"/>
  <c r="Z4" i="11"/>
  <c r="AD27" i="7"/>
  <c r="AD30" i="12"/>
  <c r="B44" i="5"/>
  <c r="F44" i="5"/>
  <c r="J44" i="5"/>
  <c r="N44" i="5"/>
  <c r="R44" i="5"/>
  <c r="V44" i="5"/>
  <c r="Z44" i="5"/>
  <c r="AD44" i="5"/>
  <c r="AD17" i="12"/>
  <c r="Q44" i="5"/>
  <c r="E44" i="5"/>
  <c r="I44" i="5"/>
  <c r="M44" i="5"/>
  <c r="C44" i="5"/>
  <c r="G44" i="5"/>
  <c r="K44" i="5"/>
  <c r="O44" i="5"/>
  <c r="D44" i="5"/>
  <c r="H44" i="5"/>
  <c r="L44" i="5"/>
  <c r="P44" i="5"/>
  <c r="Y44" i="5"/>
  <c r="AC44" i="5"/>
  <c r="S44" i="5"/>
  <c r="W44" i="5"/>
  <c r="AA44" i="5"/>
  <c r="T44" i="5"/>
  <c r="X44" i="5"/>
  <c r="AB44" i="5"/>
  <c r="AF44" i="5"/>
  <c r="AF25" i="5"/>
  <c r="AD7" i="12"/>
  <c r="AD43" i="12" s="1"/>
  <c r="AD28" i="12"/>
  <c r="AE27" i="7"/>
  <c r="AD17" i="7"/>
  <c r="AD34" i="6"/>
  <c r="AE34" i="6"/>
  <c r="AE24" i="5"/>
  <c r="AD24" i="5"/>
  <c r="AE23" i="5"/>
  <c r="AD23" i="5"/>
  <c r="AE22" i="5"/>
  <c r="AD22" i="5"/>
  <c r="AE19" i="5"/>
  <c r="AE8" i="2" s="1"/>
  <c r="AD19" i="5"/>
  <c r="AD8" i="2" s="1"/>
  <c r="AE13" i="5"/>
  <c r="AE5" i="2" s="1"/>
  <c r="AD13" i="5"/>
  <c r="AD5" i="2" s="1"/>
  <c r="AC41" i="12"/>
  <c r="AC20" i="12"/>
  <c r="AC19" i="12"/>
  <c r="AC18" i="12"/>
  <c r="AC10" i="12"/>
  <c r="AC9" i="12"/>
  <c r="AC8" i="12"/>
  <c r="X12" i="11"/>
  <c r="X14" i="11" s="1"/>
  <c r="AC19" i="9"/>
  <c r="AC18" i="9"/>
  <c r="AC41" i="8"/>
  <c r="AC40" i="8"/>
  <c r="AC39" i="8"/>
  <c r="AC38" i="8"/>
  <c r="AC34" i="8"/>
  <c r="AC33" i="8"/>
  <c r="AC25" i="8"/>
  <c r="AC26" i="8" s="1"/>
  <c r="AC20" i="8"/>
  <c r="AC19" i="8"/>
  <c r="AC18" i="8"/>
  <c r="AC17" i="8"/>
  <c r="AC13" i="8"/>
  <c r="AC12" i="8"/>
  <c r="AC11" i="8"/>
  <c r="AC7" i="8"/>
  <c r="AC6" i="8"/>
  <c r="AC5" i="8"/>
  <c r="AC25" i="7"/>
  <c r="AC23" i="7"/>
  <c r="AC22" i="7"/>
  <c r="AC31" i="7" s="1"/>
  <c r="AC21" i="7"/>
  <c r="AC20" i="7"/>
  <c r="AC19" i="7"/>
  <c r="AC18" i="7"/>
  <c r="AC16" i="7"/>
  <c r="AC14" i="7"/>
  <c r="AC13" i="7"/>
  <c r="AC12" i="7"/>
  <c r="AC11" i="7"/>
  <c r="AC9" i="7"/>
  <c r="AC8" i="7"/>
  <c r="AC7" i="7"/>
  <c r="AC6" i="7"/>
  <c r="AC5" i="7"/>
  <c r="AC4" i="7"/>
  <c r="AC29" i="6"/>
  <c r="AC12" i="9" s="1"/>
  <c r="AC24" i="6"/>
  <c r="AC11" i="9" s="1"/>
  <c r="AC21" i="6"/>
  <c r="AC9" i="9" s="1"/>
  <c r="AC16" i="6"/>
  <c r="AC12" i="6"/>
  <c r="AC8" i="6"/>
  <c r="AC7" i="9" s="1"/>
  <c r="AC7" i="6"/>
  <c r="AC6" i="6"/>
  <c r="AC24" i="5"/>
  <c r="AC23" i="5"/>
  <c r="AC22" i="5"/>
  <c r="AC19" i="5"/>
  <c r="AC8" i="2" s="1"/>
  <c r="AC13" i="5"/>
  <c r="AC5" i="2" s="1"/>
  <c r="AC7" i="4"/>
  <c r="AC5" i="4"/>
  <c r="AC37" i="3"/>
  <c r="AC30" i="3"/>
  <c r="AC17" i="3"/>
  <c r="AC5" i="3"/>
  <c r="AC17" i="2"/>
  <c r="U54" i="1"/>
  <c r="U56" i="1" s="1"/>
  <c r="U45" i="1"/>
  <c r="U38" i="1"/>
  <c r="U25" i="1"/>
  <c r="AO22" i="9" l="1"/>
  <c r="AO23" i="9"/>
  <c r="AO33" i="2"/>
  <c r="AE44" i="5"/>
  <c r="AI32" i="2"/>
  <c r="AI39" i="3"/>
  <c r="AH32" i="12"/>
  <c r="AI4" i="4"/>
  <c r="AI8" i="4" s="1"/>
  <c r="AC32" i="12"/>
  <c r="AH18" i="2"/>
  <c r="AH20" i="2" s="1"/>
  <c r="AH22" i="2" s="1"/>
  <c r="AH24" i="2" s="1"/>
  <c r="AH33" i="2" s="1"/>
  <c r="AH4" i="5"/>
  <c r="AH6" i="5" s="1"/>
  <c r="AF18" i="2"/>
  <c r="AF20" i="2" s="1"/>
  <c r="AF22" i="2" s="1"/>
  <c r="AF5" i="9" s="1"/>
  <c r="AF15" i="9" s="1"/>
  <c r="AF4" i="5"/>
  <c r="AF6" i="5" s="1"/>
  <c r="AA32" i="12"/>
  <c r="AG18" i="2"/>
  <c r="AG20" i="2" s="1"/>
  <c r="AG22" i="2" s="1"/>
  <c r="AG5" i="9" s="1"/>
  <c r="AG15" i="9" s="1"/>
  <c r="AG23" i="9" s="1"/>
  <c r="AG4" i="5"/>
  <c r="AG6" i="5" s="1"/>
  <c r="AJ4" i="3"/>
  <c r="AJ24" i="3" s="1"/>
  <c r="AJ24" i="2"/>
  <c r="AJ5" i="9"/>
  <c r="AJ15" i="9" s="1"/>
  <c r="AJ4" i="6"/>
  <c r="AJ35" i="6" s="1"/>
  <c r="AH35" i="7"/>
  <c r="AI23" i="9"/>
  <c r="AI22" i="9"/>
  <c r="AH27" i="12"/>
  <c r="AG32" i="12"/>
  <c r="AD32" i="12"/>
  <c r="AG27" i="12"/>
  <c r="AF32" i="12"/>
  <c r="AG35" i="7"/>
  <c r="AC32" i="7"/>
  <c r="AE35" i="7"/>
  <c r="AF35" i="7"/>
  <c r="AD35" i="7"/>
  <c r="U46" i="1"/>
  <c r="U57" i="1" s="1"/>
  <c r="Z6" i="11"/>
  <c r="AA4" i="11"/>
  <c r="AB32" i="12"/>
  <c r="AE22" i="12"/>
  <c r="AE32" i="12" s="1"/>
  <c r="AE33" i="12"/>
  <c r="AF27" i="12"/>
  <c r="AD27" i="12"/>
  <c r="AD11" i="2"/>
  <c r="AC28" i="12"/>
  <c r="AE11" i="2"/>
  <c r="AC29" i="12"/>
  <c r="AC17" i="12"/>
  <c r="AC21" i="8"/>
  <c r="AC14" i="8"/>
  <c r="AC35" i="8"/>
  <c r="AC30" i="7"/>
  <c r="AC28" i="7"/>
  <c r="AC29" i="7"/>
  <c r="AC34" i="7"/>
  <c r="AC8" i="8"/>
  <c r="AC42" i="8"/>
  <c r="AD25" i="5"/>
  <c r="AE25" i="5"/>
  <c r="AC30" i="12"/>
  <c r="AC14" i="9"/>
  <c r="AC17" i="7"/>
  <c r="AC26" i="7"/>
  <c r="AC10" i="7"/>
  <c r="AC34" i="6"/>
  <c r="AC7" i="12"/>
  <c r="AC43" i="12" s="1"/>
  <c r="AC25" i="5"/>
  <c r="AC27" i="7"/>
  <c r="AC11" i="2"/>
  <c r="AB41" i="12"/>
  <c r="AB20" i="12"/>
  <c r="AB19" i="12"/>
  <c r="AB18" i="12"/>
  <c r="AB10" i="12"/>
  <c r="AB9" i="12"/>
  <c r="AB8" i="12"/>
  <c r="AB19" i="9"/>
  <c r="AB18" i="9"/>
  <c r="AB41" i="8"/>
  <c r="AB40" i="8"/>
  <c r="AB39" i="8"/>
  <c r="AB38" i="8"/>
  <c r="AB34" i="8"/>
  <c r="AB33" i="8"/>
  <c r="AB25" i="8"/>
  <c r="AB26" i="8" s="1"/>
  <c r="AB20" i="8"/>
  <c r="AB19" i="8"/>
  <c r="AB18" i="8"/>
  <c r="AB17" i="8"/>
  <c r="AB13" i="8"/>
  <c r="AB12" i="8"/>
  <c r="AB11" i="8"/>
  <c r="AB7" i="8"/>
  <c r="AB6" i="8"/>
  <c r="AB5" i="8"/>
  <c r="AB25" i="7"/>
  <c r="AB23" i="7"/>
  <c r="AB22" i="7"/>
  <c r="AB31" i="7" s="1"/>
  <c r="AB21" i="7"/>
  <c r="AB20" i="7"/>
  <c r="AB19" i="7"/>
  <c r="AB18" i="7"/>
  <c r="AB16" i="7"/>
  <c r="AB14" i="7"/>
  <c r="AB13" i="7"/>
  <c r="AB12" i="7"/>
  <c r="AB11" i="7"/>
  <c r="AB9" i="7"/>
  <c r="AB8" i="7"/>
  <c r="AB7" i="7"/>
  <c r="AB6" i="7"/>
  <c r="AB5" i="7"/>
  <c r="AB4" i="7"/>
  <c r="AB29" i="6"/>
  <c r="AB12" i="9" s="1"/>
  <c r="AB24" i="6"/>
  <c r="AB11" i="9" s="1"/>
  <c r="AB21" i="6"/>
  <c r="AB9" i="9" s="1"/>
  <c r="AB16" i="6"/>
  <c r="AB12" i="6"/>
  <c r="AB8" i="6"/>
  <c r="AB7" i="9" s="1"/>
  <c r="AB7" i="6"/>
  <c r="AB6" i="6"/>
  <c r="AB7" i="4"/>
  <c r="AB5" i="4"/>
  <c r="T25" i="1"/>
  <c r="T54" i="1"/>
  <c r="T56" i="1" s="1"/>
  <c r="T45" i="1"/>
  <c r="T38" i="1"/>
  <c r="AB37" i="3"/>
  <c r="AB30" i="3"/>
  <c r="AB17" i="3"/>
  <c r="AB5" i="3"/>
  <c r="AB17" i="2"/>
  <c r="AG4" i="3" l="1"/>
  <c r="AG24" i="3" s="1"/>
  <c r="AH32" i="2"/>
  <c r="AH5" i="9"/>
  <c r="AH15" i="9" s="1"/>
  <c r="AH23" i="9" s="1"/>
  <c r="AH4" i="3"/>
  <c r="AH24" i="3" s="1"/>
  <c r="AH4" i="4" s="1"/>
  <c r="AH8" i="4" s="1"/>
  <c r="AG4" i="6"/>
  <c r="AG35" i="6" s="1"/>
  <c r="AG37" i="12" s="1"/>
  <c r="AB35" i="8"/>
  <c r="AH4" i="6"/>
  <c r="AH35" i="6" s="1"/>
  <c r="AH37" i="12" s="1"/>
  <c r="AF4" i="6"/>
  <c r="AF35" i="6" s="1"/>
  <c r="AF37" i="12" s="1"/>
  <c r="AJ37" i="12"/>
  <c r="AB14" i="8"/>
  <c r="AB32" i="7"/>
  <c r="AG22" i="9"/>
  <c r="AD18" i="2"/>
  <c r="AD20" i="2" s="1"/>
  <c r="AD22" i="2" s="1"/>
  <c r="AD24" i="2" s="1"/>
  <c r="AD32" i="2" s="1"/>
  <c r="AD4" i="5"/>
  <c r="AD6" i="5" s="1"/>
  <c r="AF24" i="2"/>
  <c r="AJ4" i="4"/>
  <c r="AJ8" i="4" s="1"/>
  <c r="AJ39" i="3"/>
  <c r="AF4" i="3"/>
  <c r="AF24" i="3" s="1"/>
  <c r="AF39" i="3" s="1"/>
  <c r="AG24" i="2"/>
  <c r="AE18" i="2"/>
  <c r="AE4" i="5"/>
  <c r="AE6" i="5" s="1"/>
  <c r="AC18" i="2"/>
  <c r="AC20" i="2" s="1"/>
  <c r="AC22" i="2" s="1"/>
  <c r="AC4" i="3" s="1"/>
  <c r="AC24" i="3" s="1"/>
  <c r="AC39" i="12" s="1"/>
  <c r="AC4" i="5"/>
  <c r="AC6" i="5" s="1"/>
  <c r="AA6" i="11"/>
  <c r="AA8" i="11" s="1"/>
  <c r="AB4" i="11"/>
  <c r="AB14" i="9"/>
  <c r="AB28" i="7"/>
  <c r="AB34" i="7"/>
  <c r="AB21" i="8"/>
  <c r="Z8" i="11"/>
  <c r="AF29" i="2" s="1"/>
  <c r="AF19" i="9" s="1"/>
  <c r="AF23" i="9" s="1"/>
  <c r="AF28" i="2"/>
  <c r="AB28" i="12"/>
  <c r="AC27" i="12"/>
  <c r="AB30" i="12"/>
  <c r="AB17" i="12"/>
  <c r="AB29" i="12"/>
  <c r="AB8" i="8"/>
  <c r="AB17" i="7"/>
  <c r="AB29" i="7"/>
  <c r="AC35" i="7"/>
  <c r="AB30" i="7"/>
  <c r="AB26" i="7"/>
  <c r="AB42" i="8"/>
  <c r="AB7" i="12"/>
  <c r="AB43" i="12" s="1"/>
  <c r="AB27" i="7"/>
  <c r="AB10" i="7"/>
  <c r="AB34" i="6"/>
  <c r="T46" i="1"/>
  <c r="T57" i="1" s="1"/>
  <c r="W12" i="11"/>
  <c r="W14" i="11" s="1"/>
  <c r="AB13" i="5"/>
  <c r="AB5" i="2" s="1"/>
  <c r="AB19" i="5"/>
  <c r="AB8" i="2" s="1"/>
  <c r="AB22" i="5"/>
  <c r="AB23" i="5"/>
  <c r="AB24" i="5"/>
  <c r="AH39" i="3" l="1"/>
  <c r="AC4" i="6"/>
  <c r="AC35" i="6" s="1"/>
  <c r="AC37" i="12" s="1"/>
  <c r="AH22" i="9"/>
  <c r="AD4" i="6"/>
  <c r="AD35" i="6" s="1"/>
  <c r="AD37" i="12" s="1"/>
  <c r="AC24" i="2"/>
  <c r="AC33" i="2" s="1"/>
  <c r="AG4" i="4"/>
  <c r="AG8" i="4" s="1"/>
  <c r="AG39" i="3"/>
  <c r="AE20" i="2"/>
  <c r="AE22" i="2" s="1"/>
  <c r="AE4" i="6" s="1"/>
  <c r="AE35" i="6" s="1"/>
  <c r="AD33" i="2"/>
  <c r="AD4" i="3"/>
  <c r="AD24" i="3" s="1"/>
  <c r="AD39" i="12" s="1"/>
  <c r="AD5" i="9"/>
  <c r="AD15" i="9" s="1"/>
  <c r="AD23" i="9" s="1"/>
  <c r="AH39" i="12"/>
  <c r="AC4" i="4"/>
  <c r="AC8" i="4" s="1"/>
  <c r="AG39" i="12"/>
  <c r="AC5" i="9"/>
  <c r="AC15" i="9" s="1"/>
  <c r="AC23" i="9" s="1"/>
  <c r="AC39" i="3"/>
  <c r="AF39" i="12"/>
  <c r="AB6" i="11"/>
  <c r="AB8" i="11" s="1"/>
  <c r="AC4" i="11"/>
  <c r="AC6" i="11" s="1"/>
  <c r="AG33" i="2"/>
  <c r="AG32" i="2"/>
  <c r="AF4" i="4"/>
  <c r="AF8" i="4" s="1"/>
  <c r="AB35" i="7"/>
  <c r="AF18" i="9"/>
  <c r="AF22" i="9" s="1"/>
  <c r="AF32" i="2"/>
  <c r="AF33" i="2"/>
  <c r="AB27" i="12"/>
  <c r="AB11" i="2"/>
  <c r="AB25" i="5"/>
  <c r="AA41" i="12"/>
  <c r="AA20" i="12"/>
  <c r="AA19" i="12"/>
  <c r="AA18" i="12"/>
  <c r="AA10" i="12"/>
  <c r="AA9" i="12"/>
  <c r="AA8" i="12"/>
  <c r="AA41" i="8"/>
  <c r="AA40" i="8"/>
  <c r="AA39" i="8"/>
  <c r="AA38" i="8"/>
  <c r="AA34" i="8"/>
  <c r="AA33" i="8"/>
  <c r="AA25" i="8"/>
  <c r="AA26" i="8" s="1"/>
  <c r="AA20" i="8"/>
  <c r="AA19" i="8"/>
  <c r="AA18" i="8"/>
  <c r="AA17" i="8"/>
  <c r="AA13" i="8"/>
  <c r="AA12" i="8"/>
  <c r="AA11" i="8"/>
  <c r="AA7" i="8"/>
  <c r="AA6" i="8"/>
  <c r="AA5" i="8"/>
  <c r="AA25" i="7"/>
  <c r="AA23" i="7"/>
  <c r="AA22" i="7"/>
  <c r="AA31" i="7" s="1"/>
  <c r="AA21" i="7"/>
  <c r="AA20" i="7"/>
  <c r="AA19" i="7"/>
  <c r="AA18" i="7"/>
  <c r="AA16" i="7"/>
  <c r="AA14" i="7"/>
  <c r="AA13" i="7"/>
  <c r="AA12" i="7"/>
  <c r="AA11" i="7"/>
  <c r="AA9" i="7"/>
  <c r="AA8" i="7"/>
  <c r="AA7" i="7"/>
  <c r="AA6" i="7"/>
  <c r="AA5" i="7"/>
  <c r="AA4" i="7"/>
  <c r="AA29" i="6"/>
  <c r="AA12" i="9" s="1"/>
  <c r="AA24" i="6"/>
  <c r="AA11" i="9" s="1"/>
  <c r="AA21" i="6"/>
  <c r="AA9" i="9" s="1"/>
  <c r="AA16" i="6"/>
  <c r="AA12" i="6"/>
  <c r="AA8" i="6"/>
  <c r="AA7" i="9" s="1"/>
  <c r="AA7" i="6"/>
  <c r="AA6" i="6"/>
  <c r="AA7" i="4"/>
  <c r="AA5" i="4"/>
  <c r="S54" i="1"/>
  <c r="S56" i="1" s="1"/>
  <c r="S45" i="1"/>
  <c r="S38" i="1"/>
  <c r="S46" i="1" s="1"/>
  <c r="S25" i="1"/>
  <c r="V12" i="11"/>
  <c r="V14" i="11" s="1"/>
  <c r="AA17" i="2"/>
  <c r="AA24" i="5"/>
  <c r="AA23" i="5"/>
  <c r="AA22" i="5"/>
  <c r="AA19" i="5"/>
  <c r="AA8" i="2" s="1"/>
  <c r="AA13" i="5"/>
  <c r="AA5" i="2" s="1"/>
  <c r="AA37" i="3"/>
  <c r="AA30" i="3"/>
  <c r="AA17" i="3"/>
  <c r="AA5" i="3"/>
  <c r="AE4" i="3" l="1"/>
  <c r="AE24" i="3" s="1"/>
  <c r="AE4" i="4" s="1"/>
  <c r="AE8" i="4" s="1"/>
  <c r="AD39" i="3"/>
  <c r="AE24" i="2"/>
  <c r="AC22" i="9"/>
  <c r="AD4" i="4"/>
  <c r="AD8" i="4" s="1"/>
  <c r="AC32" i="2"/>
  <c r="AE5" i="9"/>
  <c r="AE15" i="9" s="1"/>
  <c r="AD22" i="9"/>
  <c r="AC8" i="11"/>
  <c r="AJ29" i="2" s="1"/>
  <c r="AJ28" i="2"/>
  <c r="AB18" i="2"/>
  <c r="AB20" i="2" s="1"/>
  <c r="AB22" i="2" s="1"/>
  <c r="AB24" i="2" s="1"/>
  <c r="AB4" i="5"/>
  <c r="AB6" i="5" s="1"/>
  <c r="AA32" i="7"/>
  <c r="AA8" i="8"/>
  <c r="AA7" i="12"/>
  <c r="AA43" i="12" s="1"/>
  <c r="AA14" i="8"/>
  <c r="AA30" i="7"/>
  <c r="AA28" i="7"/>
  <c r="AA42" i="8"/>
  <c r="AA14" i="9"/>
  <c r="AA29" i="7"/>
  <c r="AA17" i="7"/>
  <c r="AA34" i="7"/>
  <c r="AA21" i="8"/>
  <c r="AA26" i="7"/>
  <c r="AA35" i="8"/>
  <c r="AA29" i="12"/>
  <c r="AA30" i="12"/>
  <c r="AA11" i="2"/>
  <c r="AA17" i="12"/>
  <c r="AA28" i="12"/>
  <c r="AA27" i="7"/>
  <c r="AA10" i="7"/>
  <c r="AA34" i="6"/>
  <c r="S57" i="1"/>
  <c r="AA25" i="5"/>
  <c r="Y41" i="12"/>
  <c r="Y20" i="12"/>
  <c r="Y19" i="12"/>
  <c r="Y18" i="12"/>
  <c r="Y10" i="12"/>
  <c r="Y9" i="12"/>
  <c r="Y8" i="12"/>
  <c r="Y19" i="9"/>
  <c r="Y18" i="9"/>
  <c r="Z41" i="8"/>
  <c r="Y41" i="8"/>
  <c r="Z40" i="8"/>
  <c r="Y40" i="8"/>
  <c r="Z39" i="8"/>
  <c r="Y39" i="8"/>
  <c r="Z38" i="8"/>
  <c r="Y38" i="8"/>
  <c r="Z34" i="8"/>
  <c r="Y34" i="8"/>
  <c r="Z33" i="8"/>
  <c r="Y33" i="8"/>
  <c r="Z25" i="8"/>
  <c r="Z26" i="8" s="1"/>
  <c r="Y25" i="8"/>
  <c r="Y26" i="8" s="1"/>
  <c r="Z20" i="8"/>
  <c r="Y20" i="8"/>
  <c r="Z19" i="8"/>
  <c r="Y19" i="8"/>
  <c r="Z18" i="8"/>
  <c r="Y18" i="8"/>
  <c r="Z17" i="8"/>
  <c r="Y17" i="8"/>
  <c r="Z13" i="8"/>
  <c r="Y13" i="8"/>
  <c r="Z12" i="8"/>
  <c r="Y12" i="8"/>
  <c r="Z11" i="8"/>
  <c r="Y11" i="8"/>
  <c r="Z7" i="8"/>
  <c r="Y7" i="8"/>
  <c r="Z6" i="8"/>
  <c r="Y6" i="8"/>
  <c r="Z5" i="8"/>
  <c r="Y5" i="8"/>
  <c r="Z25" i="7"/>
  <c r="Y25" i="7"/>
  <c r="Z23" i="7"/>
  <c r="Y23" i="7"/>
  <c r="Z22" i="7"/>
  <c r="Z31" i="7" s="1"/>
  <c r="Y22" i="7"/>
  <c r="Y31" i="7" s="1"/>
  <c r="Z21" i="7"/>
  <c r="Y21" i="7"/>
  <c r="Z20" i="7"/>
  <c r="Y20" i="7"/>
  <c r="Z19" i="7"/>
  <c r="Y19" i="7"/>
  <c r="Z18" i="7"/>
  <c r="Y18" i="7"/>
  <c r="Z16" i="7"/>
  <c r="Y16" i="7"/>
  <c r="Z14" i="7"/>
  <c r="Y14" i="7"/>
  <c r="Z13" i="7"/>
  <c r="Y13" i="7"/>
  <c r="Z12" i="7"/>
  <c r="Y12" i="7"/>
  <c r="Z11" i="7"/>
  <c r="Y11" i="7"/>
  <c r="Z9" i="7"/>
  <c r="Z32" i="7" s="1"/>
  <c r="Y9" i="7"/>
  <c r="Y32" i="7" s="1"/>
  <c r="Z8" i="7"/>
  <c r="Y8" i="7"/>
  <c r="Z7" i="7"/>
  <c r="Y7" i="7"/>
  <c r="Z6" i="7"/>
  <c r="Y6" i="7"/>
  <c r="Z5" i="7"/>
  <c r="Y5" i="7"/>
  <c r="Z4" i="7"/>
  <c r="Y4" i="7"/>
  <c r="Z29" i="6"/>
  <c r="Z12" i="9" s="1"/>
  <c r="Y29" i="6"/>
  <c r="Y12" i="9" s="1"/>
  <c r="Z24" i="6"/>
  <c r="Z11" i="9" s="1"/>
  <c r="Y24" i="6"/>
  <c r="Y11" i="9" s="1"/>
  <c r="Z21" i="6"/>
  <c r="Z9" i="9" s="1"/>
  <c r="Y21" i="6"/>
  <c r="Y9" i="9" s="1"/>
  <c r="Z16" i="6"/>
  <c r="Y16" i="6"/>
  <c r="Z12" i="6"/>
  <c r="Y12" i="6"/>
  <c r="Z8" i="6"/>
  <c r="Z7" i="9" s="1"/>
  <c r="Y8" i="6"/>
  <c r="Y7" i="9" s="1"/>
  <c r="Z7" i="6"/>
  <c r="Y7" i="6"/>
  <c r="Z6" i="6"/>
  <c r="Y6" i="6"/>
  <c r="Y7" i="4"/>
  <c r="Y5" i="4"/>
  <c r="R54" i="1"/>
  <c r="R56" i="1" s="1"/>
  <c r="R45" i="1"/>
  <c r="R46" i="1" s="1"/>
  <c r="R25" i="1"/>
  <c r="AE39" i="3" l="1"/>
  <c r="AB4" i="6"/>
  <c r="AB35" i="6" s="1"/>
  <c r="AB37" i="12" s="1"/>
  <c r="Z29" i="7"/>
  <c r="AB5" i="9"/>
  <c r="AB15" i="9" s="1"/>
  <c r="AB22" i="9" s="1"/>
  <c r="AJ18" i="9"/>
  <c r="AJ22" i="9" s="1"/>
  <c r="AJ32" i="2"/>
  <c r="AJ19" i="9"/>
  <c r="AJ23" i="9" s="1"/>
  <c r="AJ33" i="2"/>
  <c r="AB4" i="3"/>
  <c r="AB24" i="3" s="1"/>
  <c r="AB4" i="4" s="1"/>
  <c r="AB8" i="4" s="1"/>
  <c r="AA18" i="2"/>
  <c r="AA20" i="2" s="1"/>
  <c r="AA22" i="2" s="1"/>
  <c r="AA4" i="3" s="1"/>
  <c r="AA24" i="3" s="1"/>
  <c r="AA4" i="4" s="1"/>
  <c r="AA8" i="4" s="1"/>
  <c r="AA4" i="5"/>
  <c r="AA6" i="5" s="1"/>
  <c r="Y34" i="6"/>
  <c r="Y14" i="9"/>
  <c r="Z14" i="8"/>
  <c r="Z21" i="8"/>
  <c r="AA35" i="7"/>
  <c r="Y28" i="7"/>
  <c r="Y30" i="7"/>
  <c r="Y26" i="7"/>
  <c r="Y35" i="8"/>
  <c r="Z34" i="6"/>
  <c r="R57" i="1"/>
  <c r="Y29" i="12"/>
  <c r="AB33" i="2"/>
  <c r="AB32" i="2"/>
  <c r="AA27" i="12"/>
  <c r="Y8" i="8"/>
  <c r="Y21" i="8"/>
  <c r="Y10" i="7"/>
  <c r="Y17" i="7"/>
  <c r="Z10" i="7"/>
  <c r="Z17" i="7"/>
  <c r="Z34" i="7"/>
  <c r="Y14" i="8"/>
  <c r="Y42" i="8"/>
  <c r="Z14" i="9"/>
  <c r="Z28" i="7"/>
  <c r="Z30" i="7"/>
  <c r="Z26" i="7"/>
  <c r="Z8" i="8"/>
  <c r="Z35" i="8"/>
  <c r="Z42" i="8"/>
  <c r="Y29" i="7"/>
  <c r="Y34" i="7"/>
  <c r="Y30" i="12"/>
  <c r="Y17" i="12"/>
  <c r="Y7" i="12"/>
  <c r="Y43" i="12" s="1"/>
  <c r="Y28" i="12"/>
  <c r="Y27" i="7"/>
  <c r="Z27" i="7"/>
  <c r="Z35" i="3"/>
  <c r="Z34" i="3"/>
  <c r="Z33" i="3"/>
  <c r="Z32" i="3"/>
  <c r="Z31" i="3"/>
  <c r="Z29" i="3"/>
  <c r="Z28" i="3"/>
  <c r="Z26" i="3"/>
  <c r="Z7" i="4" s="1"/>
  <c r="Z25" i="3"/>
  <c r="Y37" i="3"/>
  <c r="AB23" i="9" l="1"/>
  <c r="AA24" i="2"/>
  <c r="AA39" i="12"/>
  <c r="AA39" i="3"/>
  <c r="AA4" i="6"/>
  <c r="AA35" i="6" s="1"/>
  <c r="AA37" i="12" s="1"/>
  <c r="AA5" i="9"/>
  <c r="AA15" i="9" s="1"/>
  <c r="AB39" i="12"/>
  <c r="AB39" i="3"/>
  <c r="Z35" i="7"/>
  <c r="Y27" i="12"/>
  <c r="Y35" i="7"/>
  <c r="Z37" i="3"/>
  <c r="Z30" i="3"/>
  <c r="Z5" i="4"/>
  <c r="Y30" i="3"/>
  <c r="Z17" i="3"/>
  <c r="Y17" i="3"/>
  <c r="Z5" i="3"/>
  <c r="Y5" i="3"/>
  <c r="U12" i="11"/>
  <c r="V4" i="11" s="1"/>
  <c r="Z17" i="2"/>
  <c r="Y17" i="2"/>
  <c r="Z24" i="5"/>
  <c r="Z23" i="5"/>
  <c r="Z22" i="5"/>
  <c r="Z19" i="5"/>
  <c r="Z8" i="2" s="1"/>
  <c r="Z13" i="5"/>
  <c r="Z5" i="2" s="1"/>
  <c r="Y24" i="5"/>
  <c r="Y23" i="5"/>
  <c r="Y22" i="5"/>
  <c r="Y19" i="5"/>
  <c r="Y8" i="2" s="1"/>
  <c r="Y13" i="5"/>
  <c r="Y5" i="2" s="1"/>
  <c r="W4" i="11" l="1"/>
  <c r="V6" i="11"/>
  <c r="U14" i="11"/>
  <c r="Y11" i="2"/>
  <c r="Y18" i="2" s="1"/>
  <c r="Y20" i="2" s="1"/>
  <c r="Y22" i="2" s="1"/>
  <c r="Y25" i="5"/>
  <c r="Z25" i="5"/>
  <c r="Z11" i="2"/>
  <c r="Z18" i="2" s="1"/>
  <c r="X41" i="12"/>
  <c r="X20" i="12"/>
  <c r="X19" i="12"/>
  <c r="X18" i="12"/>
  <c r="X10" i="12"/>
  <c r="X9" i="12"/>
  <c r="X8" i="12"/>
  <c r="T12" i="11"/>
  <c r="T14" i="11" s="1"/>
  <c r="X19" i="9"/>
  <c r="X18" i="9"/>
  <c r="X41" i="8"/>
  <c r="X40" i="8"/>
  <c r="X39" i="8"/>
  <c r="X38" i="8"/>
  <c r="X34" i="8"/>
  <c r="X33" i="8"/>
  <c r="X25" i="8"/>
  <c r="X26" i="8" s="1"/>
  <c r="X20" i="8"/>
  <c r="X19" i="8"/>
  <c r="X18" i="8"/>
  <c r="X17" i="8"/>
  <c r="X13" i="8"/>
  <c r="X12" i="8"/>
  <c r="X11" i="8"/>
  <c r="X7" i="8"/>
  <c r="X6" i="8"/>
  <c r="X5" i="8"/>
  <c r="X25" i="7"/>
  <c r="X23" i="7"/>
  <c r="X22" i="7"/>
  <c r="X31" i="7" s="1"/>
  <c r="X21" i="7"/>
  <c r="X20" i="7"/>
  <c r="X19" i="7"/>
  <c r="X18" i="7"/>
  <c r="X16" i="7"/>
  <c r="X14" i="7"/>
  <c r="X13" i="7"/>
  <c r="X12" i="7"/>
  <c r="X11" i="7"/>
  <c r="X9" i="7"/>
  <c r="X8" i="7"/>
  <c r="X7" i="7"/>
  <c r="X6" i="7"/>
  <c r="X5" i="7"/>
  <c r="X4" i="7"/>
  <c r="X29" i="6"/>
  <c r="X12" i="9" s="1"/>
  <c r="X24" i="6"/>
  <c r="X11" i="9" s="1"/>
  <c r="X21" i="6"/>
  <c r="X9" i="9" s="1"/>
  <c r="X16" i="6"/>
  <c r="X12" i="6"/>
  <c r="X8" i="6"/>
  <c r="X7" i="9" s="1"/>
  <c r="X7" i="6"/>
  <c r="X6" i="6"/>
  <c r="X7" i="4"/>
  <c r="X5" i="4"/>
  <c r="X32" i="7" l="1"/>
  <c r="Z20" i="2"/>
  <c r="Z22" i="2" s="1"/>
  <c r="Z24" i="2" s="1"/>
  <c r="V8" i="11"/>
  <c r="AA29" i="2" s="1"/>
  <c r="AA28" i="2"/>
  <c r="W6" i="11"/>
  <c r="W8" i="11" s="1"/>
  <c r="X4" i="11"/>
  <c r="X30" i="12"/>
  <c r="X8" i="8"/>
  <c r="X14" i="9"/>
  <c r="Y24" i="2"/>
  <c r="Y4" i="6"/>
  <c r="Y35" i="6" s="1"/>
  <c r="Y37" i="12" s="1"/>
  <c r="Y5" i="9"/>
  <c r="Y15" i="9" s="1"/>
  <c r="Y4" i="3"/>
  <c r="Y24" i="3" s="1"/>
  <c r="X29" i="12"/>
  <c r="X30" i="7"/>
  <c r="X34" i="6"/>
  <c r="X10" i="7"/>
  <c r="X14" i="8"/>
  <c r="X28" i="7"/>
  <c r="X42" i="8"/>
  <c r="X17" i="12"/>
  <c r="X29" i="7"/>
  <c r="X17" i="7"/>
  <c r="X34" i="7"/>
  <c r="X21" i="8"/>
  <c r="X7" i="12"/>
  <c r="X43" i="12" s="1"/>
  <c r="X26" i="7"/>
  <c r="X35" i="8"/>
  <c r="X28" i="12"/>
  <c r="X27" i="7"/>
  <c r="Q54" i="1"/>
  <c r="Q56" i="1" s="1"/>
  <c r="Q45" i="1"/>
  <c r="Q38" i="1"/>
  <c r="Q25" i="1"/>
  <c r="Q46" i="1" l="1"/>
  <c r="Q57" i="1" s="1"/>
  <c r="Z4" i="6"/>
  <c r="Z35" i="6" s="1"/>
  <c r="Z4" i="3"/>
  <c r="Z24" i="3" s="1"/>
  <c r="Z4" i="4" s="1"/>
  <c r="Z8" i="4" s="1"/>
  <c r="Z5" i="9"/>
  <c r="Z15" i="9" s="1"/>
  <c r="AA18" i="9"/>
  <c r="AA22" i="9" s="1"/>
  <c r="AA32" i="2"/>
  <c r="Y4" i="11"/>
  <c r="Y6" i="11" s="1"/>
  <c r="X6" i="11"/>
  <c r="X8" i="11" s="1"/>
  <c r="AA19" i="9"/>
  <c r="AA23" i="9" s="1"/>
  <c r="AA33" i="2"/>
  <c r="X27" i="12"/>
  <c r="Y4" i="4"/>
  <c r="Y8" i="4" s="1"/>
  <c r="Y39" i="12"/>
  <c r="Y39" i="3"/>
  <c r="Y23" i="9"/>
  <c r="Y22" i="9"/>
  <c r="Y33" i="2"/>
  <c r="Y32" i="2"/>
  <c r="X35" i="7"/>
  <c r="X30" i="3"/>
  <c r="X37" i="3"/>
  <c r="X17" i="3"/>
  <c r="X5" i="3"/>
  <c r="X17" i="2"/>
  <c r="X22" i="5"/>
  <c r="X23" i="5"/>
  <c r="X24" i="5"/>
  <c r="X19" i="5"/>
  <c r="X8" i="2" s="1"/>
  <c r="X13" i="5"/>
  <c r="X5" i="2" s="1"/>
  <c r="Z39" i="3" l="1"/>
  <c r="Y8" i="11"/>
  <c r="AE29" i="2" s="1"/>
  <c r="AE28" i="2"/>
  <c r="X25" i="5"/>
  <c r="X11" i="2"/>
  <c r="X18" i="2" s="1"/>
  <c r="X20" i="2" s="1"/>
  <c r="X22" i="2" s="1"/>
  <c r="X4" i="6" s="1"/>
  <c r="X35" i="6" s="1"/>
  <c r="X37" i="12" s="1"/>
  <c r="G38" i="3"/>
  <c r="H38" i="3"/>
  <c r="N38" i="3"/>
  <c r="AE18" i="9" l="1"/>
  <c r="AE22" i="9" s="1"/>
  <c r="AE32" i="2"/>
  <c r="AE19" i="9"/>
  <c r="AE23" i="9" s="1"/>
  <c r="AE33" i="2"/>
  <c r="X4" i="3"/>
  <c r="X24" i="3" s="1"/>
  <c r="X39" i="12" s="1"/>
  <c r="X24" i="2"/>
  <c r="X32" i="2" s="1"/>
  <c r="X5" i="9"/>
  <c r="X15" i="9" s="1"/>
  <c r="X23" i="9" s="1"/>
  <c r="W41" i="12"/>
  <c r="W20" i="12"/>
  <c r="W19" i="12"/>
  <c r="W18" i="12"/>
  <c r="W10" i="12"/>
  <c r="W9" i="12"/>
  <c r="W8" i="12"/>
  <c r="W18" i="9"/>
  <c r="W19" i="9"/>
  <c r="W41" i="8"/>
  <c r="W40" i="8"/>
  <c r="W39" i="8"/>
  <c r="W38" i="8"/>
  <c r="W34" i="8"/>
  <c r="W33" i="8"/>
  <c r="W25" i="8"/>
  <c r="W26" i="8" s="1"/>
  <c r="W20" i="8"/>
  <c r="W19" i="8"/>
  <c r="W18" i="8"/>
  <c r="W17" i="8"/>
  <c r="W13" i="8"/>
  <c r="W12" i="8"/>
  <c r="W11" i="8"/>
  <c r="W7" i="8"/>
  <c r="W6" i="8"/>
  <c r="W5" i="8"/>
  <c r="W25" i="7"/>
  <c r="W23" i="7"/>
  <c r="W22" i="7"/>
  <c r="W31" i="7" s="1"/>
  <c r="W21" i="7"/>
  <c r="W20" i="7"/>
  <c r="W19" i="7"/>
  <c r="W18" i="7"/>
  <c r="W16" i="7"/>
  <c r="W14" i="7"/>
  <c r="W13" i="7"/>
  <c r="W12" i="7"/>
  <c r="W11" i="7"/>
  <c r="W9" i="7"/>
  <c r="W8" i="7"/>
  <c r="W7" i="7"/>
  <c r="W6" i="7"/>
  <c r="W5" i="7"/>
  <c r="W4" i="7"/>
  <c r="W29" i="6"/>
  <c r="W12" i="9" s="1"/>
  <c r="W24" i="6"/>
  <c r="W11" i="9" s="1"/>
  <c r="W21" i="6"/>
  <c r="W9" i="9" s="1"/>
  <c r="W16" i="6"/>
  <c r="W12" i="6"/>
  <c r="W8" i="6"/>
  <c r="W7" i="9" s="1"/>
  <c r="W7" i="6"/>
  <c r="W6" i="6"/>
  <c r="W7" i="4"/>
  <c r="W5" i="4"/>
  <c r="P54" i="1"/>
  <c r="P56" i="1" s="1"/>
  <c r="P45" i="1"/>
  <c r="P38" i="1"/>
  <c r="P25" i="1"/>
  <c r="V17" i="3"/>
  <c r="U17" i="3"/>
  <c r="T17" i="3"/>
  <c r="S17" i="3"/>
  <c r="R17" i="3"/>
  <c r="P17" i="3"/>
  <c r="O17" i="3"/>
  <c r="L17" i="3"/>
  <c r="K17" i="3"/>
  <c r="J17" i="3"/>
  <c r="I17" i="3"/>
  <c r="H17" i="3"/>
  <c r="G17" i="3"/>
  <c r="F17" i="3"/>
  <c r="E17" i="3"/>
  <c r="D17" i="3"/>
  <c r="C17" i="3"/>
  <c r="B17" i="3"/>
  <c r="W5" i="3"/>
  <c r="V15" i="3"/>
  <c r="V5" i="3" s="1"/>
  <c r="T15" i="3"/>
  <c r="T5" i="3" s="1"/>
  <c r="S15" i="3"/>
  <c r="S5" i="3" s="1"/>
  <c r="Q15" i="3"/>
  <c r="O15" i="3"/>
  <c r="O5" i="3" s="1"/>
  <c r="N15" i="3"/>
  <c r="M15" i="3"/>
  <c r="M5" i="3" s="1"/>
  <c r="L15" i="3"/>
  <c r="L5" i="3" s="1"/>
  <c r="J15" i="3"/>
  <c r="I15" i="3"/>
  <c r="I5" i="3" s="1"/>
  <c r="H15" i="3"/>
  <c r="G15" i="3"/>
  <c r="E15" i="3"/>
  <c r="D15" i="3"/>
  <c r="C15" i="3"/>
  <c r="B15" i="3"/>
  <c r="W17" i="3"/>
  <c r="R15" i="3"/>
  <c r="R5" i="3" s="1"/>
  <c r="W37" i="3"/>
  <c r="W30" i="3"/>
  <c r="S12" i="11"/>
  <c r="S14" i="11" s="1"/>
  <c r="W17" i="2"/>
  <c r="W13" i="5"/>
  <c r="W5" i="2" s="1"/>
  <c r="W24" i="5"/>
  <c r="W23" i="5"/>
  <c r="W22" i="5"/>
  <c r="W19" i="5"/>
  <c r="W8" i="2" s="1"/>
  <c r="W32" i="7" l="1"/>
  <c r="W14" i="8"/>
  <c r="X4" i="4"/>
  <c r="X8" i="4" s="1"/>
  <c r="X33" i="2"/>
  <c r="W29" i="12"/>
  <c r="W8" i="8"/>
  <c r="W28" i="7"/>
  <c r="X39" i="3"/>
  <c r="X22" i="9"/>
  <c r="W30" i="12"/>
  <c r="W17" i="12"/>
  <c r="W11" i="2"/>
  <c r="W18" i="2" s="1"/>
  <c r="W20" i="2" s="1"/>
  <c r="W22" i="2" s="1"/>
  <c r="W34" i="7"/>
  <c r="W7" i="12"/>
  <c r="W43" i="12" s="1"/>
  <c r="W35" i="8"/>
  <c r="W29" i="7"/>
  <c r="W17" i="7"/>
  <c r="W21" i="8"/>
  <c r="W30" i="7"/>
  <c r="W14" i="9"/>
  <c r="W26" i="7"/>
  <c r="W42" i="8"/>
  <c r="W28" i="12"/>
  <c r="W27" i="7"/>
  <c r="W10" i="7"/>
  <c r="W34" i="6"/>
  <c r="P46" i="1"/>
  <c r="P57" i="1" s="1"/>
  <c r="W25" i="5"/>
  <c r="V41" i="12"/>
  <c r="V20" i="12"/>
  <c r="V19" i="12"/>
  <c r="V18" i="12"/>
  <c r="V10" i="12"/>
  <c r="V9" i="12"/>
  <c r="V8" i="12"/>
  <c r="V41" i="8"/>
  <c r="V40" i="8"/>
  <c r="V39" i="8"/>
  <c r="V38" i="8"/>
  <c r="V34" i="8"/>
  <c r="V33" i="8"/>
  <c r="V25" i="8"/>
  <c r="V26" i="8" s="1"/>
  <c r="V20" i="8"/>
  <c r="V19" i="8"/>
  <c r="V18" i="8"/>
  <c r="V17" i="8"/>
  <c r="V13" i="8"/>
  <c r="V12" i="8"/>
  <c r="V11" i="8"/>
  <c r="V7" i="8"/>
  <c r="V6" i="8"/>
  <c r="V5" i="8"/>
  <c r="V25" i="7"/>
  <c r="V23" i="7"/>
  <c r="V22" i="7"/>
  <c r="V31" i="7" s="1"/>
  <c r="V21" i="7"/>
  <c r="V20" i="7"/>
  <c r="V19" i="7"/>
  <c r="V18" i="7"/>
  <c r="V16" i="7"/>
  <c r="V14" i="7"/>
  <c r="V13" i="7"/>
  <c r="V12" i="7"/>
  <c r="V11" i="7"/>
  <c r="V9" i="7"/>
  <c r="V8" i="7"/>
  <c r="V7" i="7"/>
  <c r="V6" i="7"/>
  <c r="V5" i="7"/>
  <c r="V4" i="7"/>
  <c r="V29" i="6"/>
  <c r="V12" i="9" s="1"/>
  <c r="V24" i="6"/>
  <c r="V11" i="9" s="1"/>
  <c r="V21" i="6"/>
  <c r="V9" i="9" s="1"/>
  <c r="V16" i="6"/>
  <c r="V12" i="6"/>
  <c r="V8" i="6"/>
  <c r="V7" i="9" s="1"/>
  <c r="V7" i="6"/>
  <c r="V6" i="6"/>
  <c r="V7" i="4"/>
  <c r="V5" i="4"/>
  <c r="V37" i="3"/>
  <c r="V30" i="3"/>
  <c r="R12" i="11"/>
  <c r="R14" i="11" s="1"/>
  <c r="V17" i="2"/>
  <c r="V24" i="5"/>
  <c r="V23" i="5"/>
  <c r="V22" i="5"/>
  <c r="V19" i="5"/>
  <c r="V8" i="2" s="1"/>
  <c r="V13" i="5"/>
  <c r="V5" i="2" s="1"/>
  <c r="O54" i="1"/>
  <c r="O56" i="1" s="1"/>
  <c r="O45" i="1"/>
  <c r="O38" i="1"/>
  <c r="O25" i="1"/>
  <c r="V32" i="7" l="1"/>
  <c r="O46" i="1"/>
  <c r="W27" i="12"/>
  <c r="V25" i="5"/>
  <c r="O57" i="1"/>
  <c r="V11" i="2"/>
  <c r="V18" i="2" s="1"/>
  <c r="V20" i="2" s="1"/>
  <c r="V22" i="2" s="1"/>
  <c r="V4" i="6" s="1"/>
  <c r="V35" i="8"/>
  <c r="W35" i="7"/>
  <c r="V30" i="7"/>
  <c r="V14" i="9"/>
  <c r="V30" i="12"/>
  <c r="W24" i="2"/>
  <c r="W5" i="9"/>
  <c r="W15" i="9" s="1"/>
  <c r="W4" i="3"/>
  <c r="W24" i="3" s="1"/>
  <c r="W39" i="3" s="1"/>
  <c r="W4" i="6"/>
  <c r="W35" i="6" s="1"/>
  <c r="W37" i="12" s="1"/>
  <c r="V7" i="12"/>
  <c r="V43" i="12" s="1"/>
  <c r="V42" i="8"/>
  <c r="V26" i="7"/>
  <c r="V28" i="7"/>
  <c r="V14" i="8"/>
  <c r="V10" i="7"/>
  <c r="V29" i="7"/>
  <c r="V17" i="7"/>
  <c r="V34" i="7"/>
  <c r="V8" i="8"/>
  <c r="V34" i="6"/>
  <c r="V29" i="12"/>
  <c r="V17" i="12"/>
  <c r="V21" i="8"/>
  <c r="V28" i="12"/>
  <c r="V27" i="7"/>
  <c r="T8" i="12"/>
  <c r="T9" i="12"/>
  <c r="T10" i="12"/>
  <c r="T18" i="12"/>
  <c r="T19" i="12"/>
  <c r="T20" i="12"/>
  <c r="T41" i="12"/>
  <c r="C12" i="11"/>
  <c r="C14" i="11" s="1"/>
  <c r="D12" i="11"/>
  <c r="D14" i="11" s="1"/>
  <c r="E12" i="11"/>
  <c r="F4" i="11" s="1"/>
  <c r="F12" i="11"/>
  <c r="F14" i="11" s="1"/>
  <c r="G12" i="11"/>
  <c r="G14" i="11" s="1"/>
  <c r="H12" i="11"/>
  <c r="H14" i="11" s="1"/>
  <c r="I12" i="11"/>
  <c r="J4" i="11" s="1"/>
  <c r="J12" i="11"/>
  <c r="J14" i="11" s="1"/>
  <c r="K12" i="11"/>
  <c r="L12" i="11"/>
  <c r="L14" i="11" s="1"/>
  <c r="M12" i="11"/>
  <c r="N4" i="11" s="1"/>
  <c r="N12" i="11"/>
  <c r="N14" i="11" s="1"/>
  <c r="O12" i="11"/>
  <c r="O14" i="11" s="1"/>
  <c r="P12" i="11"/>
  <c r="P14" i="11" s="1"/>
  <c r="Q12" i="11"/>
  <c r="R4" i="11" s="1"/>
  <c r="B12" i="11"/>
  <c r="B14" i="11" s="1"/>
  <c r="T19" i="9"/>
  <c r="T18" i="9"/>
  <c r="T41" i="8"/>
  <c r="T40" i="8"/>
  <c r="T39" i="8"/>
  <c r="T38" i="8"/>
  <c r="U34" i="8"/>
  <c r="T34" i="8"/>
  <c r="U33" i="8"/>
  <c r="T33" i="8"/>
  <c r="T25" i="8"/>
  <c r="T26" i="8" s="1"/>
  <c r="U20" i="8"/>
  <c r="T20" i="8"/>
  <c r="U19" i="8"/>
  <c r="T19" i="8"/>
  <c r="U18" i="8"/>
  <c r="T18" i="8"/>
  <c r="U17" i="8"/>
  <c r="T17" i="8"/>
  <c r="U13" i="8"/>
  <c r="T13" i="8"/>
  <c r="U12" i="8"/>
  <c r="T12" i="8"/>
  <c r="U11" i="8"/>
  <c r="T11" i="8"/>
  <c r="U7" i="8"/>
  <c r="T7" i="8"/>
  <c r="U6" i="8"/>
  <c r="T6" i="8"/>
  <c r="U5" i="8"/>
  <c r="T5" i="8"/>
  <c r="U25" i="7"/>
  <c r="T25" i="7"/>
  <c r="T23" i="7"/>
  <c r="T22" i="7"/>
  <c r="T31" i="7" s="1"/>
  <c r="U21" i="7"/>
  <c r="T21" i="7"/>
  <c r="U20" i="7"/>
  <c r="T20" i="7"/>
  <c r="U19" i="7"/>
  <c r="T19" i="7"/>
  <c r="U18" i="7"/>
  <c r="T18" i="7"/>
  <c r="T16" i="7"/>
  <c r="U14" i="7"/>
  <c r="T14" i="7"/>
  <c r="U13" i="7"/>
  <c r="T13" i="7"/>
  <c r="U12" i="7"/>
  <c r="T12" i="7"/>
  <c r="U11" i="7"/>
  <c r="T11" i="7"/>
  <c r="U9" i="7"/>
  <c r="T9" i="7"/>
  <c r="T8" i="7"/>
  <c r="U7" i="7"/>
  <c r="T7" i="7"/>
  <c r="U6" i="7"/>
  <c r="T6" i="7"/>
  <c r="U5" i="7"/>
  <c r="T5" i="7"/>
  <c r="U4" i="7"/>
  <c r="T4" i="7"/>
  <c r="T29" i="6"/>
  <c r="T12" i="9" s="1"/>
  <c r="U33" i="6"/>
  <c r="U41" i="8" s="1"/>
  <c r="U32" i="6"/>
  <c r="U16" i="7" s="1"/>
  <c r="U31" i="6"/>
  <c r="U39" i="8" s="1"/>
  <c r="U30" i="6"/>
  <c r="U38" i="8" s="1"/>
  <c r="U24" i="6"/>
  <c r="U11" i="9" s="1"/>
  <c r="T24" i="6"/>
  <c r="T11" i="9" s="1"/>
  <c r="U23" i="6"/>
  <c r="U21" i="6" s="1"/>
  <c r="U9" i="9" s="1"/>
  <c r="T21" i="6"/>
  <c r="T9" i="9" s="1"/>
  <c r="U16" i="6"/>
  <c r="T16" i="6"/>
  <c r="U12" i="6"/>
  <c r="T12" i="6"/>
  <c r="U8" i="6"/>
  <c r="U7" i="9" s="1"/>
  <c r="T8" i="6"/>
  <c r="T7" i="9" s="1"/>
  <c r="U7" i="6"/>
  <c r="T7" i="6"/>
  <c r="U6" i="6"/>
  <c r="T6" i="6"/>
  <c r="T7" i="4"/>
  <c r="T5" i="4"/>
  <c r="U17" i="2"/>
  <c r="T17" i="2"/>
  <c r="U24" i="5"/>
  <c r="T24" i="5"/>
  <c r="U23" i="5"/>
  <c r="T23" i="5"/>
  <c r="U22" i="5"/>
  <c r="T22" i="5"/>
  <c r="U19" i="5"/>
  <c r="U8" i="2" s="1"/>
  <c r="T19" i="5"/>
  <c r="T8" i="2" s="1"/>
  <c r="U13" i="5"/>
  <c r="U5" i="2" s="1"/>
  <c r="T13" i="5"/>
  <c r="T5" i="2" s="1"/>
  <c r="U35" i="3"/>
  <c r="U25" i="3"/>
  <c r="U5" i="4" s="1"/>
  <c r="U31" i="3"/>
  <c r="U33" i="3"/>
  <c r="U32" i="3"/>
  <c r="U29" i="3"/>
  <c r="U28" i="3"/>
  <c r="U26" i="3"/>
  <c r="U7" i="4" s="1"/>
  <c r="K14" i="3"/>
  <c r="K15" i="3" s="1"/>
  <c r="K5" i="3" s="1"/>
  <c r="U14" i="3"/>
  <c r="U15" i="3" s="1"/>
  <c r="U5" i="3" s="1"/>
  <c r="P14" i="3"/>
  <c r="P15" i="3" s="1"/>
  <c r="P5" i="3" s="1"/>
  <c r="F14" i="3"/>
  <c r="F15" i="3" s="1"/>
  <c r="S37" i="3"/>
  <c r="R37" i="3"/>
  <c r="P37" i="3"/>
  <c r="O37" i="3"/>
  <c r="N37" i="3"/>
  <c r="M37" i="3"/>
  <c r="L37" i="3"/>
  <c r="K37" i="3"/>
  <c r="J37" i="3"/>
  <c r="I37" i="3"/>
  <c r="H37" i="3"/>
  <c r="F37" i="3"/>
  <c r="E37" i="3"/>
  <c r="D37" i="3"/>
  <c r="C37" i="3"/>
  <c r="B37" i="3"/>
  <c r="T37" i="3"/>
  <c r="T30" i="3"/>
  <c r="N54" i="1"/>
  <c r="N56" i="1" s="1"/>
  <c r="E14" i="11" l="1"/>
  <c r="T32" i="7"/>
  <c r="M14" i="11"/>
  <c r="I14" i="11"/>
  <c r="Q14" i="11"/>
  <c r="V24" i="2"/>
  <c r="V27" i="12"/>
  <c r="U32" i="7"/>
  <c r="V4" i="3"/>
  <c r="V24" i="3" s="1"/>
  <c r="V39" i="3" s="1"/>
  <c r="V5" i="9"/>
  <c r="T11" i="2"/>
  <c r="T18" i="2" s="1"/>
  <c r="T20" i="2" s="1"/>
  <c r="T22" i="2" s="1"/>
  <c r="T24" i="2" s="1"/>
  <c r="U29" i="6"/>
  <c r="U12" i="9" s="1"/>
  <c r="U14" i="9" s="1"/>
  <c r="U22" i="7"/>
  <c r="U31" i="7" s="1"/>
  <c r="U40" i="8"/>
  <c r="U42" i="8" s="1"/>
  <c r="T25" i="5"/>
  <c r="U29" i="7"/>
  <c r="U8" i="7"/>
  <c r="U10" i="7" s="1"/>
  <c r="U23" i="7"/>
  <c r="U25" i="8"/>
  <c r="U26" i="8" s="1"/>
  <c r="U25" i="5"/>
  <c r="R6" i="11"/>
  <c r="S4" i="11"/>
  <c r="V35" i="6"/>
  <c r="V37" i="12" s="1"/>
  <c r="U14" i="8"/>
  <c r="V35" i="7"/>
  <c r="V15" i="9"/>
  <c r="W4" i="4"/>
  <c r="W8" i="4" s="1"/>
  <c r="W39" i="12"/>
  <c r="W22" i="9"/>
  <c r="W23" i="9"/>
  <c r="W32" i="2"/>
  <c r="W33" i="2"/>
  <c r="T28" i="7"/>
  <c r="T30" i="7"/>
  <c r="T26" i="7"/>
  <c r="T8" i="8"/>
  <c r="T14" i="8"/>
  <c r="T35" i="8"/>
  <c r="T42" i="8"/>
  <c r="T14" i="9"/>
  <c r="U35" i="8"/>
  <c r="U30" i="3"/>
  <c r="T29" i="12"/>
  <c r="T17" i="12"/>
  <c r="T30" i="12"/>
  <c r="T21" i="8"/>
  <c r="U21" i="8"/>
  <c r="U17" i="7"/>
  <c r="T10" i="7"/>
  <c r="T34" i="6"/>
  <c r="U28" i="7"/>
  <c r="U30" i="7"/>
  <c r="U8" i="8"/>
  <c r="T29" i="7"/>
  <c r="T34" i="7"/>
  <c r="T27" i="7"/>
  <c r="U11" i="2"/>
  <c r="U18" i="2" s="1"/>
  <c r="T28" i="12"/>
  <c r="T7" i="12"/>
  <c r="T43" i="12" s="1"/>
  <c r="U27" i="7"/>
  <c r="T17" i="7"/>
  <c r="N45" i="1"/>
  <c r="N38" i="1"/>
  <c r="N25" i="1"/>
  <c r="U34" i="6" l="1"/>
  <c r="U20" i="2"/>
  <c r="U22" i="2" s="1"/>
  <c r="U5" i="9" s="1"/>
  <c r="U15" i="9" s="1"/>
  <c r="U34" i="7"/>
  <c r="U35" i="7" s="1"/>
  <c r="U26" i="7"/>
  <c r="T4" i="3"/>
  <c r="T24" i="3" s="1"/>
  <c r="T39" i="3" s="1"/>
  <c r="T4" i="6"/>
  <c r="T35" i="6" s="1"/>
  <c r="T37" i="12" s="1"/>
  <c r="T5" i="9"/>
  <c r="T15" i="9" s="1"/>
  <c r="T22" i="9" s="1"/>
  <c r="V39" i="12"/>
  <c r="V4" i="4"/>
  <c r="V8" i="4" s="1"/>
  <c r="R8" i="11"/>
  <c r="V29" i="2" s="1"/>
  <c r="V28" i="2"/>
  <c r="N46" i="1"/>
  <c r="N57" i="1" s="1"/>
  <c r="T4" i="11"/>
  <c r="S6" i="11"/>
  <c r="S8" i="11" s="1"/>
  <c r="T35" i="7"/>
  <c r="T27" i="12"/>
  <c r="T32" i="2"/>
  <c r="T33" i="2"/>
  <c r="S8" i="12"/>
  <c r="S9" i="12"/>
  <c r="S10" i="12"/>
  <c r="S18" i="12"/>
  <c r="S19" i="12"/>
  <c r="S20" i="12"/>
  <c r="S41" i="12"/>
  <c r="S19" i="9"/>
  <c r="S18" i="9"/>
  <c r="S5" i="8"/>
  <c r="S6" i="8"/>
  <c r="S7" i="8"/>
  <c r="S11" i="8"/>
  <c r="S12" i="8"/>
  <c r="S13" i="8"/>
  <c r="S17" i="8"/>
  <c r="S18" i="8"/>
  <c r="S19" i="8"/>
  <c r="S20" i="8"/>
  <c r="S25" i="8"/>
  <c r="S26" i="8" s="1"/>
  <c r="S33" i="8"/>
  <c r="S34" i="8"/>
  <c r="S38" i="8"/>
  <c r="S39" i="8"/>
  <c r="S40" i="8"/>
  <c r="S41" i="8"/>
  <c r="S25" i="7"/>
  <c r="S23" i="7"/>
  <c r="S22" i="7"/>
  <c r="S31" i="7" s="1"/>
  <c r="S21" i="7"/>
  <c r="S20" i="7"/>
  <c r="S19" i="7"/>
  <c r="S18" i="7"/>
  <c r="S16" i="7"/>
  <c r="S14" i="7"/>
  <c r="S13" i="7"/>
  <c r="S12" i="7"/>
  <c r="S11" i="7"/>
  <c r="S9" i="7"/>
  <c r="S8" i="7"/>
  <c r="S7" i="7"/>
  <c r="S6" i="7"/>
  <c r="S5" i="7"/>
  <c r="S4" i="7"/>
  <c r="S29" i="6"/>
  <c r="S12" i="9" s="1"/>
  <c r="S24" i="6"/>
  <c r="S11" i="9" s="1"/>
  <c r="S21" i="6"/>
  <c r="S9" i="9" s="1"/>
  <c r="S16" i="6"/>
  <c r="S12" i="6"/>
  <c r="S8" i="6"/>
  <c r="S7" i="9" s="1"/>
  <c r="S7" i="6"/>
  <c r="S6" i="6"/>
  <c r="S7" i="4"/>
  <c r="S5" i="4"/>
  <c r="S30" i="3"/>
  <c r="S17" i="2"/>
  <c r="S22" i="5"/>
  <c r="S23" i="5"/>
  <c r="S24" i="5"/>
  <c r="S19" i="5"/>
  <c r="S8" i="2" s="1"/>
  <c r="S13" i="5"/>
  <c r="S5" i="2" s="1"/>
  <c r="M54" i="1"/>
  <c r="M56" i="1" s="1"/>
  <c r="M45" i="1"/>
  <c r="M38" i="1"/>
  <c r="M25" i="1"/>
  <c r="U4" i="3" l="1"/>
  <c r="U24" i="3" s="1"/>
  <c r="U4" i="6"/>
  <c r="U35" i="6" s="1"/>
  <c r="U24" i="2"/>
  <c r="S32" i="7"/>
  <c r="T4" i="4"/>
  <c r="T8" i="4" s="1"/>
  <c r="M46" i="1"/>
  <c r="T39" i="12"/>
  <c r="T6" i="11"/>
  <c r="T8" i="11" s="1"/>
  <c r="U4" i="11"/>
  <c r="U6" i="11" s="1"/>
  <c r="S25" i="5"/>
  <c r="T23" i="9"/>
  <c r="V18" i="9"/>
  <c r="V22" i="9" s="1"/>
  <c r="V32" i="2"/>
  <c r="V19" i="9"/>
  <c r="V23" i="9" s="1"/>
  <c r="V33" i="2"/>
  <c r="S28" i="12"/>
  <c r="S8" i="8"/>
  <c r="S29" i="12"/>
  <c r="S34" i="6"/>
  <c r="S14" i="8"/>
  <c r="S28" i="7"/>
  <c r="S29" i="7"/>
  <c r="S34" i="7"/>
  <c r="S30" i="7"/>
  <c r="S26" i="7"/>
  <c r="S30" i="12"/>
  <c r="S17" i="7"/>
  <c r="S11" i="2"/>
  <c r="S18" i="2" s="1"/>
  <c r="S20" i="2" s="1"/>
  <c r="S22" i="2" s="1"/>
  <c r="S5" i="9" s="1"/>
  <c r="S14" i="9"/>
  <c r="S10" i="7"/>
  <c r="S42" i="8"/>
  <c r="S21" i="8"/>
  <c r="S7" i="12"/>
  <c r="S43" i="12" s="1"/>
  <c r="S27" i="7"/>
  <c r="S35" i="8"/>
  <c r="S17" i="12"/>
  <c r="Z28" i="2" l="1"/>
  <c r="U8" i="11"/>
  <c r="Z29" i="2" s="1"/>
  <c r="S27" i="12"/>
  <c r="U4" i="4"/>
  <c r="U8" i="4" s="1"/>
  <c r="S15" i="9"/>
  <c r="S22" i="9" s="1"/>
  <c r="S35" i="7"/>
  <c r="S4" i="3"/>
  <c r="S24" i="2"/>
  <c r="S33" i="2" s="1"/>
  <c r="S4" i="6"/>
  <c r="S35" i="6" s="1"/>
  <c r="S37" i="12" s="1"/>
  <c r="R8" i="12"/>
  <c r="R9" i="12"/>
  <c r="R10" i="12"/>
  <c r="R18" i="12"/>
  <c r="R19" i="12"/>
  <c r="R20" i="12"/>
  <c r="R41" i="12"/>
  <c r="R18" i="9"/>
  <c r="R19" i="9"/>
  <c r="R5" i="8"/>
  <c r="R6" i="8"/>
  <c r="R7" i="8"/>
  <c r="R11" i="8"/>
  <c r="R12" i="8"/>
  <c r="R13" i="8"/>
  <c r="R17" i="8"/>
  <c r="R18" i="8"/>
  <c r="R19" i="8"/>
  <c r="R20" i="8"/>
  <c r="R25" i="8"/>
  <c r="R26" i="8" s="1"/>
  <c r="R33" i="8"/>
  <c r="R34" i="8"/>
  <c r="R38" i="8"/>
  <c r="R39" i="8"/>
  <c r="R40" i="8"/>
  <c r="R41" i="8"/>
  <c r="R22" i="5"/>
  <c r="R23" i="5"/>
  <c r="R24" i="5"/>
  <c r="R19" i="5"/>
  <c r="R8" i="2" s="1"/>
  <c r="R13" i="5"/>
  <c r="R5" i="2" s="1"/>
  <c r="R4" i="7"/>
  <c r="R5" i="7"/>
  <c r="R6" i="7"/>
  <c r="R7" i="7"/>
  <c r="R8" i="7"/>
  <c r="R9" i="7"/>
  <c r="R11" i="7"/>
  <c r="R12" i="7"/>
  <c r="R13" i="7"/>
  <c r="R14" i="7"/>
  <c r="R16" i="7"/>
  <c r="R18" i="7"/>
  <c r="R19" i="7"/>
  <c r="R20" i="7"/>
  <c r="R21" i="7"/>
  <c r="R22" i="7"/>
  <c r="R31" i="7" s="1"/>
  <c r="R23" i="7"/>
  <c r="R25" i="7"/>
  <c r="R29" i="6"/>
  <c r="R12" i="9" s="1"/>
  <c r="R24" i="6"/>
  <c r="R11" i="9" s="1"/>
  <c r="R21" i="6"/>
  <c r="R9" i="9" s="1"/>
  <c r="R16" i="6"/>
  <c r="R12" i="6"/>
  <c r="R6" i="6"/>
  <c r="R7" i="6"/>
  <c r="R8" i="6"/>
  <c r="R7" i="9" s="1"/>
  <c r="R5" i="4"/>
  <c r="R7" i="4"/>
  <c r="R30" i="3"/>
  <c r="R17" i="2"/>
  <c r="L54" i="1"/>
  <c r="L56" i="1" s="1"/>
  <c r="L45" i="1"/>
  <c r="L38" i="1"/>
  <c r="L25" i="1"/>
  <c r="R32" i="7" l="1"/>
  <c r="L46" i="1"/>
  <c r="L57" i="1" s="1"/>
  <c r="Z19" i="9"/>
  <c r="Z23" i="9" s="1"/>
  <c r="Z33" i="2"/>
  <c r="Z18" i="9"/>
  <c r="Z22" i="9" s="1"/>
  <c r="Z32" i="2"/>
  <c r="R25" i="5"/>
  <c r="R34" i="7"/>
  <c r="S24" i="3"/>
  <c r="S32" i="2"/>
  <c r="R11" i="2"/>
  <c r="R18" i="2" s="1"/>
  <c r="R20" i="2" s="1"/>
  <c r="R22" i="2" s="1"/>
  <c r="R5" i="9" s="1"/>
  <c r="S23" i="9"/>
  <c r="R28" i="7"/>
  <c r="R17" i="7"/>
  <c r="R29" i="7"/>
  <c r="R8" i="8"/>
  <c r="R28" i="12"/>
  <c r="R29" i="12"/>
  <c r="R14" i="8"/>
  <c r="R30" i="12"/>
  <c r="R14" i="9"/>
  <c r="R34" i="6"/>
  <c r="R21" i="8"/>
  <c r="R7" i="12"/>
  <c r="R43" i="12" s="1"/>
  <c r="R26" i="7"/>
  <c r="R35" i="8"/>
  <c r="R17" i="12"/>
  <c r="R30" i="7"/>
  <c r="R42" i="8"/>
  <c r="R10" i="7"/>
  <c r="R27" i="7"/>
  <c r="R4" i="6" l="1"/>
  <c r="R35" i="6" s="1"/>
  <c r="R37" i="12" s="1"/>
  <c r="S39" i="12"/>
  <c r="S39" i="3"/>
  <c r="S4" i="4"/>
  <c r="S8" i="4" s="1"/>
  <c r="R4" i="3"/>
  <c r="R15" i="9"/>
  <c r="R22" i="9" s="1"/>
  <c r="R24" i="2"/>
  <c r="R32" i="2" s="1"/>
  <c r="R35" i="7"/>
  <c r="R27" i="12"/>
  <c r="R33" i="2" l="1"/>
  <c r="R23" i="9"/>
  <c r="R24" i="3"/>
  <c r="G24" i="6"/>
  <c r="F24" i="6"/>
  <c r="E24" i="6"/>
  <c r="D24" i="6"/>
  <c r="C24" i="6"/>
  <c r="B24" i="6"/>
  <c r="R39" i="12" l="1"/>
  <c r="R39" i="3"/>
  <c r="R4" i="4"/>
  <c r="R8" i="4" s="1"/>
  <c r="F40" i="3"/>
  <c r="N5" i="8" l="1"/>
  <c r="O5" i="8"/>
  <c r="N33" i="2" l="1"/>
  <c r="I33" i="2"/>
  <c r="N32" i="2"/>
  <c r="I32" i="2"/>
  <c r="O4" i="11" l="1"/>
  <c r="L4" i="11"/>
  <c r="I4" i="11"/>
  <c r="E4" i="11"/>
  <c r="D4" i="11"/>
  <c r="C4" i="11"/>
  <c r="D9" i="3"/>
  <c r="D5" i="3" s="1"/>
  <c r="E25" i="1"/>
  <c r="C9" i="3"/>
  <c r="C5" i="3" s="1"/>
  <c r="D25" i="1"/>
  <c r="F9" i="3"/>
  <c r="F5" i="3" s="1"/>
  <c r="J9" i="3"/>
  <c r="J5" i="3" s="1"/>
  <c r="E9" i="3"/>
  <c r="E5" i="3" s="1"/>
  <c r="F22" i="2"/>
  <c r="F24" i="2" s="1"/>
  <c r="F17" i="2"/>
  <c r="F41" i="8"/>
  <c r="E41" i="8"/>
  <c r="D41" i="8"/>
  <c r="C41" i="8"/>
  <c r="B41" i="8"/>
  <c r="F40" i="8"/>
  <c r="E40" i="8"/>
  <c r="D40" i="8"/>
  <c r="C40" i="8"/>
  <c r="B40" i="8"/>
  <c r="F39" i="8"/>
  <c r="E39" i="8"/>
  <c r="D39" i="8"/>
  <c r="C39" i="8"/>
  <c r="B39" i="8"/>
  <c r="F38" i="8"/>
  <c r="E38" i="8"/>
  <c r="D38" i="8"/>
  <c r="C38" i="8"/>
  <c r="B38" i="8"/>
  <c r="F34" i="8"/>
  <c r="E34" i="8"/>
  <c r="D34" i="8"/>
  <c r="C34" i="8"/>
  <c r="B34" i="8"/>
  <c r="F33" i="8"/>
  <c r="E33" i="8"/>
  <c r="D33" i="8"/>
  <c r="C33" i="8"/>
  <c r="B33" i="8"/>
  <c r="F29" i="6"/>
  <c r="E29" i="6"/>
  <c r="D29" i="6"/>
  <c r="C29" i="6"/>
  <c r="B29" i="6"/>
  <c r="F21" i="6"/>
  <c r="E21" i="6"/>
  <c r="D21" i="6"/>
  <c r="C21" i="6"/>
  <c r="B21" i="6"/>
  <c r="F16" i="6"/>
  <c r="E16" i="6"/>
  <c r="D16" i="6"/>
  <c r="C16" i="6"/>
  <c r="B16" i="6"/>
  <c r="F12" i="6"/>
  <c r="E12" i="6"/>
  <c r="D12" i="6"/>
  <c r="C12" i="6"/>
  <c r="B12" i="6"/>
  <c r="F8" i="6"/>
  <c r="E8" i="6"/>
  <c r="D8" i="6"/>
  <c r="C8" i="6"/>
  <c r="B8" i="6"/>
  <c r="G9" i="3"/>
  <c r="B9" i="3"/>
  <c r="B5" i="3" s="1"/>
  <c r="E54" i="1"/>
  <c r="E56" i="1" s="1"/>
  <c r="D54" i="1"/>
  <c r="D56" i="1" s="1"/>
  <c r="C54" i="1"/>
  <c r="C56" i="1" s="1"/>
  <c r="B54" i="1"/>
  <c r="B56" i="1" s="1"/>
  <c r="J38" i="1"/>
  <c r="I38" i="1"/>
  <c r="F38" i="1"/>
  <c r="E38" i="1"/>
  <c r="D38" i="1"/>
  <c r="C38" i="1"/>
  <c r="B38" i="1"/>
  <c r="C25" i="1"/>
  <c r="E45" i="1"/>
  <c r="D45" i="1"/>
  <c r="C45" i="1"/>
  <c r="B45" i="1"/>
  <c r="B25" i="1"/>
  <c r="O6" i="11" l="1"/>
  <c r="O8" i="11" s="1"/>
  <c r="P4" i="11"/>
  <c r="B35" i="8"/>
  <c r="F35" i="8"/>
  <c r="B46" i="1"/>
  <c r="B57" i="1" s="1"/>
  <c r="C42" i="8"/>
  <c r="D35" i="8"/>
  <c r="E42" i="8"/>
  <c r="D42" i="8"/>
  <c r="B42" i="8"/>
  <c r="F42" i="8"/>
  <c r="C35" i="8"/>
  <c r="G4" i="11"/>
  <c r="G6" i="11" s="1"/>
  <c r="G8" i="11" s="1"/>
  <c r="K4" i="11"/>
  <c r="K6" i="11" s="1"/>
  <c r="K8" i="11" s="1"/>
  <c r="H4" i="11"/>
  <c r="H6" i="11" s="1"/>
  <c r="H8" i="11" s="1"/>
  <c r="M4" i="11"/>
  <c r="M6" i="11" s="1"/>
  <c r="P28" i="2" s="1"/>
  <c r="P18" i="9" s="1"/>
  <c r="E46" i="1"/>
  <c r="E57" i="1" s="1"/>
  <c r="D46" i="1"/>
  <c r="D57" i="1" s="1"/>
  <c r="E35" i="8"/>
  <c r="C46" i="1"/>
  <c r="C57" i="1" s="1"/>
  <c r="P30" i="3"/>
  <c r="O30" i="3"/>
  <c r="N30" i="3"/>
  <c r="M30" i="3"/>
  <c r="L30" i="3"/>
  <c r="K30" i="3"/>
  <c r="J30" i="3"/>
  <c r="I30" i="3"/>
  <c r="H30" i="3"/>
  <c r="G30" i="3"/>
  <c r="F30" i="3"/>
  <c r="E30" i="3"/>
  <c r="D30" i="3"/>
  <c r="C30" i="3"/>
  <c r="B30" i="3"/>
  <c r="N4" i="3"/>
  <c r="I4" i="3"/>
  <c r="I24" i="3" s="1"/>
  <c r="F4" i="3"/>
  <c r="F24" i="3" s="1"/>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4" i="6" s="1"/>
  <c r="E6" i="6"/>
  <c r="E34" i="6" s="1"/>
  <c r="D6" i="6"/>
  <c r="D34" i="6" s="1"/>
  <c r="C6" i="6"/>
  <c r="B6" i="6"/>
  <c r="B34" i="6" s="1"/>
  <c r="Q6" i="6"/>
  <c r="N4" i="6"/>
  <c r="I4" i="6"/>
  <c r="F4" i="6"/>
  <c r="P25" i="7"/>
  <c r="O25" i="7"/>
  <c r="N25" i="7"/>
  <c r="M25" i="7"/>
  <c r="L25" i="7"/>
  <c r="K25" i="7"/>
  <c r="J25" i="7"/>
  <c r="I25" i="7"/>
  <c r="H25" i="7"/>
  <c r="G25" i="7"/>
  <c r="F25" i="7"/>
  <c r="E25" i="7"/>
  <c r="D25" i="7"/>
  <c r="C25" i="7"/>
  <c r="B25" i="7"/>
  <c r="P23" i="7"/>
  <c r="O23" i="7"/>
  <c r="N23" i="7"/>
  <c r="M23" i="7"/>
  <c r="L23" i="7"/>
  <c r="K23" i="7"/>
  <c r="J23" i="7"/>
  <c r="I23" i="7"/>
  <c r="H23" i="7"/>
  <c r="G23" i="7"/>
  <c r="F23" i="7"/>
  <c r="E23" i="7"/>
  <c r="D23" i="7"/>
  <c r="C23" i="7"/>
  <c r="B23" i="7"/>
  <c r="P22" i="7"/>
  <c r="P31" i="7" s="1"/>
  <c r="O22" i="7"/>
  <c r="O31" i="7" s="1"/>
  <c r="N22" i="7"/>
  <c r="N31" i="7" s="1"/>
  <c r="M22" i="7"/>
  <c r="M31" i="7" s="1"/>
  <c r="L22" i="7"/>
  <c r="L31" i="7" s="1"/>
  <c r="K22" i="7"/>
  <c r="K31" i="7" s="1"/>
  <c r="J22" i="7"/>
  <c r="J31" i="7" s="1"/>
  <c r="I22" i="7"/>
  <c r="I31" i="7" s="1"/>
  <c r="H22" i="7"/>
  <c r="H31" i="7" s="1"/>
  <c r="G22" i="7"/>
  <c r="G31" i="7" s="1"/>
  <c r="F22" i="7"/>
  <c r="F31" i="7" s="1"/>
  <c r="E22" i="7"/>
  <c r="E31" i="7" s="1"/>
  <c r="D22" i="7"/>
  <c r="D31" i="7" s="1"/>
  <c r="C22" i="7"/>
  <c r="C31" i="7" s="1"/>
  <c r="B22" i="7"/>
  <c r="B31" i="7" s="1"/>
  <c r="P21" i="7"/>
  <c r="O21" i="7"/>
  <c r="N21" i="7"/>
  <c r="M21" i="7"/>
  <c r="L21" i="7"/>
  <c r="K21" i="7"/>
  <c r="J21" i="7"/>
  <c r="I21" i="7"/>
  <c r="H21" i="7"/>
  <c r="G21" i="7"/>
  <c r="F21" i="7"/>
  <c r="E21" i="7"/>
  <c r="D21" i="7"/>
  <c r="C21" i="7"/>
  <c r="B21" i="7"/>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Q25" i="7"/>
  <c r="Q23" i="7"/>
  <c r="Q22" i="7"/>
  <c r="Q21" i="7"/>
  <c r="Q20" i="7"/>
  <c r="Q19" i="7"/>
  <c r="P16" i="7"/>
  <c r="O16" i="7"/>
  <c r="N16" i="7"/>
  <c r="M16" i="7"/>
  <c r="L16" i="7"/>
  <c r="K16" i="7"/>
  <c r="J16" i="7"/>
  <c r="I16" i="7"/>
  <c r="H16" i="7"/>
  <c r="G16" i="7"/>
  <c r="F16" i="7"/>
  <c r="E16" i="7"/>
  <c r="D16" i="7"/>
  <c r="C16" i="7"/>
  <c r="B16"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6" i="7"/>
  <c r="Q14" i="7"/>
  <c r="Q13" i="7"/>
  <c r="Q12" i="7"/>
  <c r="Q11" i="7"/>
  <c r="P9" i="7"/>
  <c r="O9" i="7"/>
  <c r="N9" i="7"/>
  <c r="M9" i="7"/>
  <c r="L9" i="7"/>
  <c r="K9" i="7"/>
  <c r="J9" i="7"/>
  <c r="I9" i="7"/>
  <c r="H9" i="7"/>
  <c r="G9" i="7"/>
  <c r="F9" i="7"/>
  <c r="E9" i="7"/>
  <c r="D9" i="7"/>
  <c r="C9" i="7"/>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F6" i="7"/>
  <c r="E6" i="7"/>
  <c r="D6" i="7"/>
  <c r="C6" i="7"/>
  <c r="B6" i="7"/>
  <c r="P5" i="7"/>
  <c r="O5" i="7"/>
  <c r="N5" i="7"/>
  <c r="M5" i="7"/>
  <c r="L5" i="7"/>
  <c r="K5" i="7"/>
  <c r="J5" i="7"/>
  <c r="I5" i="7"/>
  <c r="H5" i="7"/>
  <c r="G5" i="7"/>
  <c r="F5" i="7"/>
  <c r="E5" i="7"/>
  <c r="D5" i="7"/>
  <c r="C5" i="7"/>
  <c r="B5" i="7"/>
  <c r="P4" i="7"/>
  <c r="O4" i="7"/>
  <c r="N4" i="7"/>
  <c r="M4" i="7"/>
  <c r="L4" i="7"/>
  <c r="K4" i="7"/>
  <c r="J4" i="7"/>
  <c r="I4" i="7"/>
  <c r="H4" i="7"/>
  <c r="G4" i="7"/>
  <c r="F4" i="7"/>
  <c r="E4" i="7"/>
  <c r="D4" i="7"/>
  <c r="C4" i="7"/>
  <c r="B4" i="7"/>
  <c r="Q9" i="7"/>
  <c r="Q32" i="7" s="1"/>
  <c r="Q8" i="7"/>
  <c r="Q7" i="7"/>
  <c r="Q6" i="7"/>
  <c r="Q5" i="7"/>
  <c r="Q4" i="7"/>
  <c r="P41" i="8"/>
  <c r="O41" i="8"/>
  <c r="N41" i="8"/>
  <c r="M41" i="8"/>
  <c r="L41" i="8"/>
  <c r="K41" i="8"/>
  <c r="J41" i="8"/>
  <c r="I41" i="8"/>
  <c r="H41" i="8"/>
  <c r="G41" i="8"/>
  <c r="P40" i="8"/>
  <c r="O40" i="8"/>
  <c r="N40" i="8"/>
  <c r="M40" i="8"/>
  <c r="L40" i="8"/>
  <c r="K40" i="8"/>
  <c r="J40" i="8"/>
  <c r="I40" i="8"/>
  <c r="H40" i="8"/>
  <c r="G40" i="8"/>
  <c r="P39" i="8"/>
  <c r="O39" i="8"/>
  <c r="N39" i="8"/>
  <c r="M39" i="8"/>
  <c r="L39" i="8"/>
  <c r="K39" i="8"/>
  <c r="J39" i="8"/>
  <c r="I39" i="8"/>
  <c r="H39" i="8"/>
  <c r="G39" i="8"/>
  <c r="P38" i="8"/>
  <c r="O38" i="8"/>
  <c r="N38" i="8"/>
  <c r="M38" i="8"/>
  <c r="L38" i="8"/>
  <c r="K38" i="8"/>
  <c r="J38" i="8"/>
  <c r="I38" i="8"/>
  <c r="H38" i="8"/>
  <c r="G38" i="8"/>
  <c r="Q41" i="8"/>
  <c r="Q40" i="8"/>
  <c r="Q39" i="8"/>
  <c r="Q38" i="8"/>
  <c r="P34" i="8"/>
  <c r="O34" i="8"/>
  <c r="N34" i="8"/>
  <c r="M34" i="8"/>
  <c r="L34" i="8"/>
  <c r="K34" i="8"/>
  <c r="J34" i="8"/>
  <c r="I34" i="8"/>
  <c r="H34" i="8"/>
  <c r="G34" i="8"/>
  <c r="P33" i="8"/>
  <c r="O33" i="8"/>
  <c r="N33" i="8"/>
  <c r="M33" i="8"/>
  <c r="L33" i="8"/>
  <c r="K33" i="8"/>
  <c r="J33" i="8"/>
  <c r="I33" i="8"/>
  <c r="H33" i="8"/>
  <c r="G33" i="8"/>
  <c r="Q34" i="8"/>
  <c r="Q33" i="8"/>
  <c r="P25" i="8"/>
  <c r="O25" i="8"/>
  <c r="O26" i="8" s="1"/>
  <c r="N25" i="8"/>
  <c r="M25" i="8"/>
  <c r="L25" i="8"/>
  <c r="K25" i="8"/>
  <c r="J25" i="8"/>
  <c r="I25" i="8"/>
  <c r="H25" i="8"/>
  <c r="G25" i="8"/>
  <c r="F25" i="8"/>
  <c r="E25" i="8"/>
  <c r="D25" i="8"/>
  <c r="C25" i="8"/>
  <c r="B25" i="8"/>
  <c r="Q25"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19" i="9"/>
  <c r="N19" i="9"/>
  <c r="M19" i="9"/>
  <c r="J19" i="9"/>
  <c r="I19" i="9"/>
  <c r="H19" i="9"/>
  <c r="E19" i="9"/>
  <c r="D19" i="9"/>
  <c r="C19" i="9"/>
  <c r="O18" i="9"/>
  <c r="N18" i="9"/>
  <c r="M18" i="9"/>
  <c r="J18" i="9"/>
  <c r="I18" i="9"/>
  <c r="H18" i="9"/>
  <c r="E18" i="9"/>
  <c r="D18" i="9"/>
  <c r="C18" i="9"/>
  <c r="F12" i="9"/>
  <c r="E12" i="9"/>
  <c r="D12" i="9"/>
  <c r="C12" i="9"/>
  <c r="B12" i="9"/>
  <c r="F11" i="9"/>
  <c r="E11" i="9"/>
  <c r="D11" i="9"/>
  <c r="C11" i="9"/>
  <c r="B11" i="9"/>
  <c r="F9" i="9"/>
  <c r="E9" i="9"/>
  <c r="D9" i="9"/>
  <c r="C9" i="9"/>
  <c r="B9" i="9"/>
  <c r="F7" i="9"/>
  <c r="E7" i="9"/>
  <c r="D7" i="9"/>
  <c r="C7" i="9"/>
  <c r="B7" i="9"/>
  <c r="N5" i="9"/>
  <c r="I5" i="9"/>
  <c r="F5" i="9"/>
  <c r="E6" i="11"/>
  <c r="D6" i="11"/>
  <c r="D8" i="11" s="1"/>
  <c r="C6" i="11"/>
  <c r="C8" i="11" s="1"/>
  <c r="B6" i="11"/>
  <c r="E41" i="12"/>
  <c r="D41" i="12"/>
  <c r="C41" i="12"/>
  <c r="B41" i="12"/>
  <c r="G41" i="12"/>
  <c r="H41" i="12"/>
  <c r="I41" i="12"/>
  <c r="J41" i="12"/>
  <c r="L41" i="12"/>
  <c r="M41" i="12"/>
  <c r="N41" i="12"/>
  <c r="O41" i="12"/>
  <c r="Q41" i="12"/>
  <c r="E20" i="12"/>
  <c r="D20" i="12"/>
  <c r="C20" i="12"/>
  <c r="B20" i="12"/>
  <c r="E19" i="12"/>
  <c r="D19" i="12"/>
  <c r="C19" i="12"/>
  <c r="B19" i="12"/>
  <c r="E18" i="12"/>
  <c r="D18" i="12"/>
  <c r="C18" i="12"/>
  <c r="B18" i="12"/>
  <c r="P24" i="5"/>
  <c r="O24" i="5"/>
  <c r="N24" i="5"/>
  <c r="M24" i="5"/>
  <c r="L24" i="5"/>
  <c r="K24" i="5"/>
  <c r="J24" i="5"/>
  <c r="I24" i="5"/>
  <c r="H24" i="5"/>
  <c r="G24" i="5"/>
  <c r="F24" i="5"/>
  <c r="E24" i="5"/>
  <c r="D24" i="5"/>
  <c r="C24" i="5"/>
  <c r="B24" i="5"/>
  <c r="P23" i="5"/>
  <c r="O23" i="5"/>
  <c r="N23" i="5"/>
  <c r="M23" i="5"/>
  <c r="L23" i="5"/>
  <c r="K23" i="5"/>
  <c r="J23" i="5"/>
  <c r="I23" i="5"/>
  <c r="H23" i="5"/>
  <c r="G23" i="5"/>
  <c r="F23" i="5"/>
  <c r="E23" i="5"/>
  <c r="D23" i="5"/>
  <c r="C23" i="5"/>
  <c r="B23" i="5"/>
  <c r="P22" i="5"/>
  <c r="O22" i="5"/>
  <c r="N22" i="5"/>
  <c r="M22" i="5"/>
  <c r="L22" i="5"/>
  <c r="K22" i="5"/>
  <c r="J22" i="5"/>
  <c r="I22" i="5"/>
  <c r="H22" i="5"/>
  <c r="G22" i="5"/>
  <c r="F22" i="5"/>
  <c r="E22" i="5"/>
  <c r="D22" i="5"/>
  <c r="C22" i="5"/>
  <c r="B22" i="5"/>
  <c r="P19" i="5"/>
  <c r="O19" i="5"/>
  <c r="O8" i="2" s="1"/>
  <c r="N19" i="5"/>
  <c r="N8" i="2" s="1"/>
  <c r="M19" i="5"/>
  <c r="M8" i="2" s="1"/>
  <c r="L19" i="5"/>
  <c r="L8" i="2" s="1"/>
  <c r="K19" i="5"/>
  <c r="K8" i="2" s="1"/>
  <c r="J19" i="5"/>
  <c r="J8" i="2" s="1"/>
  <c r="I19" i="5"/>
  <c r="I8" i="2" s="1"/>
  <c r="H19" i="5"/>
  <c r="H8" i="2" s="1"/>
  <c r="G19" i="5"/>
  <c r="G8" i="2" s="1"/>
  <c r="F19" i="5"/>
  <c r="F8" i="2" s="1"/>
  <c r="E19" i="5"/>
  <c r="E8" i="2" s="1"/>
  <c r="D19" i="5"/>
  <c r="D8" i="2" s="1"/>
  <c r="C19" i="5"/>
  <c r="C8" i="2" s="1"/>
  <c r="B19" i="5"/>
  <c r="B8" i="2" s="1"/>
  <c r="G13" i="5"/>
  <c r="G5" i="2" s="1"/>
  <c r="F13" i="5"/>
  <c r="F5" i="2" s="1"/>
  <c r="E13" i="5"/>
  <c r="E5" i="2" s="1"/>
  <c r="D13" i="5"/>
  <c r="D5" i="2" s="1"/>
  <c r="C13" i="5"/>
  <c r="C5" i="2" s="1"/>
  <c r="B13" i="5"/>
  <c r="B5" i="2" s="1"/>
  <c r="M13" i="5"/>
  <c r="M5" i="2" s="1"/>
  <c r="J20" i="12"/>
  <c r="I20" i="12"/>
  <c r="H20" i="12"/>
  <c r="G20" i="12"/>
  <c r="J19" i="12"/>
  <c r="I19" i="12"/>
  <c r="H19" i="12"/>
  <c r="G19" i="12"/>
  <c r="J18" i="12"/>
  <c r="I18" i="12"/>
  <c r="H18" i="12"/>
  <c r="G18" i="12"/>
  <c r="O20" i="12"/>
  <c r="N20" i="12"/>
  <c r="M20" i="12"/>
  <c r="L20" i="12"/>
  <c r="O19" i="12"/>
  <c r="N19" i="12"/>
  <c r="M19" i="12"/>
  <c r="L19" i="12"/>
  <c r="O18" i="12"/>
  <c r="N18" i="12"/>
  <c r="M18" i="12"/>
  <c r="L18" i="12"/>
  <c r="Q20" i="12"/>
  <c r="Q19" i="12"/>
  <c r="Q18" i="12"/>
  <c r="E10" i="12"/>
  <c r="D10" i="12"/>
  <c r="C10" i="12"/>
  <c r="B10" i="12"/>
  <c r="E9" i="12"/>
  <c r="D9" i="12"/>
  <c r="C9" i="12"/>
  <c r="C29" i="12" s="1"/>
  <c r="B9" i="12"/>
  <c r="E8" i="12"/>
  <c r="D8" i="12"/>
  <c r="C8" i="12"/>
  <c r="B8" i="12"/>
  <c r="O10" i="12"/>
  <c r="N10" i="12"/>
  <c r="M10" i="12"/>
  <c r="L10" i="12"/>
  <c r="L30" i="12" s="1"/>
  <c r="O9" i="12"/>
  <c r="N9" i="12"/>
  <c r="M9" i="12"/>
  <c r="L9" i="12"/>
  <c r="L29" i="12" s="1"/>
  <c r="O8" i="12"/>
  <c r="N8" i="12"/>
  <c r="M8" i="12"/>
  <c r="L8" i="12"/>
  <c r="L28" i="12" s="1"/>
  <c r="J10" i="12"/>
  <c r="I10" i="12"/>
  <c r="I30" i="12" s="1"/>
  <c r="H10" i="12"/>
  <c r="H30" i="12" s="1"/>
  <c r="G10" i="12"/>
  <c r="J9" i="12"/>
  <c r="I9" i="12"/>
  <c r="H9" i="12"/>
  <c r="J8" i="12"/>
  <c r="I8" i="12"/>
  <c r="H8" i="12"/>
  <c r="G8" i="12"/>
  <c r="Q10" i="12"/>
  <c r="Q9" i="12"/>
  <c r="Q8" i="12"/>
  <c r="C17" i="2"/>
  <c r="D17" i="2"/>
  <c r="E17" i="2"/>
  <c r="F6" i="11"/>
  <c r="G29" i="6"/>
  <c r="G12" i="9" s="1"/>
  <c r="G11" i="9"/>
  <c r="G21" i="6"/>
  <c r="G9" i="9" s="1"/>
  <c r="G16" i="6"/>
  <c r="G12" i="6"/>
  <c r="G8" i="6"/>
  <c r="G7" i="9" s="1"/>
  <c r="G9" i="12"/>
  <c r="G32" i="3"/>
  <c r="G37" i="3" s="1"/>
  <c r="G7" i="3"/>
  <c r="G5" i="3" s="1"/>
  <c r="G54" i="1"/>
  <c r="G56" i="1" s="1"/>
  <c r="G41" i="1"/>
  <c r="G45" i="1" s="1"/>
  <c r="G35" i="1"/>
  <c r="G33" i="1"/>
  <c r="G25" i="1"/>
  <c r="G17" i="2"/>
  <c r="B17" i="2"/>
  <c r="K13" i="11"/>
  <c r="K14" i="11" s="1"/>
  <c r="M13" i="9"/>
  <c r="N29" i="6"/>
  <c r="N12" i="9" s="1"/>
  <c r="N24" i="6"/>
  <c r="N11" i="9" s="1"/>
  <c r="N21" i="6"/>
  <c r="N9" i="9" s="1"/>
  <c r="N16" i="6"/>
  <c r="N12" i="6"/>
  <c r="N8" i="6"/>
  <c r="H29" i="6"/>
  <c r="H12" i="9" s="1"/>
  <c r="H24" i="6"/>
  <c r="H11" i="9" s="1"/>
  <c r="H21" i="6"/>
  <c r="H9" i="9" s="1"/>
  <c r="H16" i="6"/>
  <c r="H12" i="6"/>
  <c r="H8" i="6"/>
  <c r="H7" i="9" s="1"/>
  <c r="H13" i="5"/>
  <c r="H5" i="2" s="1"/>
  <c r="M21" i="3"/>
  <c r="M17" i="3" s="1"/>
  <c r="H12" i="3"/>
  <c r="H9" i="3"/>
  <c r="H6" i="3"/>
  <c r="M17" i="2"/>
  <c r="H17" i="2"/>
  <c r="H54" i="1"/>
  <c r="H56" i="1" s="1"/>
  <c r="H45" i="1"/>
  <c r="H37" i="1"/>
  <c r="H33" i="1"/>
  <c r="H25" i="1"/>
  <c r="L6" i="11"/>
  <c r="L8" i="11" s="1"/>
  <c r="I29" i="6"/>
  <c r="I12" i="9" s="1"/>
  <c r="I24" i="6"/>
  <c r="I11" i="9" s="1"/>
  <c r="I21" i="6"/>
  <c r="I9" i="9" s="1"/>
  <c r="I16" i="6"/>
  <c r="I12" i="6"/>
  <c r="I8" i="6"/>
  <c r="I7" i="9" s="1"/>
  <c r="N13" i="5"/>
  <c r="N5" i="2" s="1"/>
  <c r="I13" i="5"/>
  <c r="I5" i="2" s="1"/>
  <c r="N21" i="3"/>
  <c r="N17" i="3" s="1"/>
  <c r="N5" i="3"/>
  <c r="I57" i="1"/>
  <c r="I6" i="11"/>
  <c r="I8" i="11" s="1"/>
  <c r="F35" i="6" l="1"/>
  <c r="C30" i="12"/>
  <c r="C28" i="12"/>
  <c r="L17" i="12"/>
  <c r="B7" i="12"/>
  <c r="O17" i="12"/>
  <c r="O29" i="12"/>
  <c r="E7" i="12"/>
  <c r="E43" i="12" s="1"/>
  <c r="L27" i="12"/>
  <c r="I17" i="12"/>
  <c r="I29" i="12"/>
  <c r="N17" i="12"/>
  <c r="B17" i="12"/>
  <c r="H29" i="12"/>
  <c r="H17" i="12"/>
  <c r="O28" i="12"/>
  <c r="O30" i="12"/>
  <c r="P6" i="11"/>
  <c r="P8" i="11" s="1"/>
  <c r="Q4" i="11"/>
  <c r="Q6" i="11" s="1"/>
  <c r="C27" i="12"/>
  <c r="C34" i="6"/>
  <c r="F39" i="3"/>
  <c r="F41" i="3" s="1"/>
  <c r="I39" i="3"/>
  <c r="E29" i="12"/>
  <c r="N24" i="3"/>
  <c r="N39" i="3" s="1"/>
  <c r="H5" i="3"/>
  <c r="M7" i="12"/>
  <c r="D17" i="12"/>
  <c r="H11" i="2"/>
  <c r="H18" i="2" s="1"/>
  <c r="H20" i="2" s="1"/>
  <c r="H22" i="2" s="1"/>
  <c r="H24" i="2" s="1"/>
  <c r="H33" i="2" s="1"/>
  <c r="D28" i="12"/>
  <c r="D29" i="12"/>
  <c r="D30" i="12"/>
  <c r="D11" i="2"/>
  <c r="D18" i="2" s="1"/>
  <c r="D20" i="2" s="1"/>
  <c r="D22" i="2" s="1"/>
  <c r="D4" i="6" s="1"/>
  <c r="D35" i="6" s="1"/>
  <c r="D37" i="12" s="1"/>
  <c r="B11" i="2"/>
  <c r="B18" i="2" s="1"/>
  <c r="B20" i="2" s="1"/>
  <c r="B22" i="2" s="1"/>
  <c r="B24" i="2" s="1"/>
  <c r="M11" i="2"/>
  <c r="M18" i="2" s="1"/>
  <c r="M20" i="2" s="1"/>
  <c r="M22" i="2" s="1"/>
  <c r="M24" i="2" s="1"/>
  <c r="M33" i="2" s="1"/>
  <c r="E11" i="2"/>
  <c r="E18" i="2" s="1"/>
  <c r="E20" i="2" s="1"/>
  <c r="E22" i="2" s="1"/>
  <c r="C11" i="2"/>
  <c r="C18" i="2" s="1"/>
  <c r="C20" i="2" s="1"/>
  <c r="C22" i="2" s="1"/>
  <c r="C5" i="9" s="1"/>
  <c r="B27" i="7"/>
  <c r="G28" i="7"/>
  <c r="C32" i="7"/>
  <c r="G32" i="7"/>
  <c r="K32" i="7"/>
  <c r="O32" i="7"/>
  <c r="J30" i="12"/>
  <c r="H35" i="8"/>
  <c r="E17" i="12"/>
  <c r="B26" i="7"/>
  <c r="F26" i="7"/>
  <c r="J26" i="7"/>
  <c r="N26" i="7"/>
  <c r="B28" i="7"/>
  <c r="G29" i="7"/>
  <c r="J32" i="7"/>
  <c r="N32" i="7"/>
  <c r="P8" i="2"/>
  <c r="J35" i="8"/>
  <c r="N35" i="8"/>
  <c r="J29" i="12"/>
  <c r="J28" i="12"/>
  <c r="I8" i="8"/>
  <c r="M8" i="8"/>
  <c r="J8" i="8"/>
  <c r="P8" i="8"/>
  <c r="N8" i="8"/>
  <c r="L35" i="8"/>
  <c r="H8" i="8"/>
  <c r="K14" i="8"/>
  <c r="H14" i="9"/>
  <c r="Q14" i="8"/>
  <c r="Q26" i="8"/>
  <c r="E32" i="7"/>
  <c r="I32" i="7"/>
  <c r="M32" i="7"/>
  <c r="D14" i="9"/>
  <c r="I14" i="8"/>
  <c r="Q35" i="8"/>
  <c r="B43" i="12"/>
  <c r="B29" i="7"/>
  <c r="G30" i="7"/>
  <c r="C27" i="7"/>
  <c r="G27" i="7"/>
  <c r="B30" i="7"/>
  <c r="D32" i="7"/>
  <c r="H32" i="7"/>
  <c r="L32" i="7"/>
  <c r="P32" i="7"/>
  <c r="C26" i="7"/>
  <c r="G26" i="7"/>
  <c r="K26" i="7"/>
  <c r="O26" i="7"/>
  <c r="B8" i="8"/>
  <c r="F8" i="8"/>
  <c r="J14" i="8"/>
  <c r="Q21" i="8"/>
  <c r="G21" i="8"/>
  <c r="K21" i="8"/>
  <c r="O21" i="8"/>
  <c r="H21" i="8"/>
  <c r="L21" i="8"/>
  <c r="P21" i="8"/>
  <c r="J21" i="8"/>
  <c r="J26" i="8"/>
  <c r="N26" i="8"/>
  <c r="G42" i="8"/>
  <c r="K42" i="8"/>
  <c r="O42" i="8"/>
  <c r="D26" i="7"/>
  <c r="H26" i="7"/>
  <c r="L26" i="7"/>
  <c r="P26" i="7"/>
  <c r="L8" i="8"/>
  <c r="E26" i="7"/>
  <c r="I26" i="7"/>
  <c r="M26" i="7"/>
  <c r="G38" i="1"/>
  <c r="G46" i="1" s="1"/>
  <c r="G57" i="1" s="1"/>
  <c r="N14" i="8"/>
  <c r="G14" i="9"/>
  <c r="N34" i="6"/>
  <c r="N35" i="6" s="1"/>
  <c r="N37" i="12" s="1"/>
  <c r="I25" i="5"/>
  <c r="M25" i="5"/>
  <c r="F28" i="7"/>
  <c r="J28" i="7"/>
  <c r="N28" i="7"/>
  <c r="K29" i="7"/>
  <c r="O29" i="7"/>
  <c r="H30" i="7"/>
  <c r="L30" i="7"/>
  <c r="P30" i="7"/>
  <c r="I7" i="12"/>
  <c r="G11" i="2"/>
  <c r="G18" i="2" s="1"/>
  <c r="G20" i="2" s="1"/>
  <c r="G22" i="2" s="1"/>
  <c r="G5" i="9" s="1"/>
  <c r="B25" i="5"/>
  <c r="J25" i="5"/>
  <c r="N25" i="5"/>
  <c r="N7" i="9"/>
  <c r="N14" i="9" s="1"/>
  <c r="N15" i="9" s="1"/>
  <c r="B29" i="12"/>
  <c r="B30" i="12"/>
  <c r="F11" i="2"/>
  <c r="F18" i="2" s="1"/>
  <c r="E25" i="5"/>
  <c r="G10" i="7"/>
  <c r="K10" i="7"/>
  <c r="O10" i="7"/>
  <c r="H28" i="7"/>
  <c r="L28" i="7"/>
  <c r="P28" i="7"/>
  <c r="I29" i="7"/>
  <c r="M29" i="7"/>
  <c r="J30" i="7"/>
  <c r="N30" i="7"/>
  <c r="Q17" i="7"/>
  <c r="H17" i="7"/>
  <c r="L17" i="7"/>
  <c r="I34" i="6"/>
  <c r="I35" i="6" s="1"/>
  <c r="I37" i="12" s="1"/>
  <c r="I14" i="9"/>
  <c r="I15" i="9" s="1"/>
  <c r="I21" i="8"/>
  <c r="M21" i="8"/>
  <c r="G8" i="8"/>
  <c r="B26" i="8"/>
  <c r="F26" i="8"/>
  <c r="G35" i="8"/>
  <c r="B14" i="8"/>
  <c r="G14" i="8"/>
  <c r="O14" i="8"/>
  <c r="H14" i="8"/>
  <c r="L14" i="8"/>
  <c r="P14" i="8"/>
  <c r="M14" i="8"/>
  <c r="B21" i="8"/>
  <c r="N21" i="8"/>
  <c r="C26" i="8"/>
  <c r="G26" i="8"/>
  <c r="K26" i="8"/>
  <c r="J42" i="8"/>
  <c r="N42" i="8"/>
  <c r="H10" i="7"/>
  <c r="L10" i="7"/>
  <c r="P10" i="7"/>
  <c r="I28" i="7"/>
  <c r="F29" i="7"/>
  <c r="J29" i="7"/>
  <c r="N29" i="7"/>
  <c r="C30" i="7"/>
  <c r="K30" i="7"/>
  <c r="O30" i="7"/>
  <c r="J17" i="7"/>
  <c r="J10" i="7"/>
  <c r="N10" i="7"/>
  <c r="K28" i="7"/>
  <c r="O28" i="7"/>
  <c r="H29" i="7"/>
  <c r="L29" i="7"/>
  <c r="P29" i="7"/>
  <c r="E30" i="7"/>
  <c r="I30" i="7"/>
  <c r="P17" i="7"/>
  <c r="N17" i="7"/>
  <c r="G17" i="7"/>
  <c r="K17" i="7"/>
  <c r="O17" i="7"/>
  <c r="H26" i="8"/>
  <c r="D34" i="7"/>
  <c r="H34" i="7"/>
  <c r="L34" i="7"/>
  <c r="P34" i="7"/>
  <c r="K8" i="8"/>
  <c r="Q34" i="7"/>
  <c r="E34" i="7"/>
  <c r="I34" i="7"/>
  <c r="B34" i="7"/>
  <c r="F34" i="7"/>
  <c r="J34" i="7"/>
  <c r="N34" i="7"/>
  <c r="C34" i="7"/>
  <c r="G34" i="7"/>
  <c r="K34" i="7"/>
  <c r="O34" i="7"/>
  <c r="L26" i="8"/>
  <c r="P26" i="8"/>
  <c r="I26" i="8"/>
  <c r="M26" i="8"/>
  <c r="H42" i="8"/>
  <c r="P42" i="8"/>
  <c r="M30" i="7"/>
  <c r="O8" i="8"/>
  <c r="D26" i="8"/>
  <c r="I35" i="8"/>
  <c r="M35" i="8"/>
  <c r="I42" i="8"/>
  <c r="E26" i="8"/>
  <c r="P35" i="8"/>
  <c r="L42" i="8"/>
  <c r="K35" i="8"/>
  <c r="O35" i="8"/>
  <c r="H7" i="12"/>
  <c r="M28" i="12"/>
  <c r="M29" i="12"/>
  <c r="M30" i="12"/>
  <c r="E30" i="12"/>
  <c r="G30" i="12"/>
  <c r="J7" i="12"/>
  <c r="E28" i="12"/>
  <c r="G29" i="12"/>
  <c r="G28" i="12"/>
  <c r="C17" i="12"/>
  <c r="H28" i="12"/>
  <c r="N28" i="12"/>
  <c r="N29" i="12"/>
  <c r="N30" i="12"/>
  <c r="D7" i="12"/>
  <c r="D43" i="12" s="1"/>
  <c r="J17" i="12"/>
  <c r="H34" i="6"/>
  <c r="D27" i="7"/>
  <c r="E27" i="7"/>
  <c r="I27" i="7"/>
  <c r="M27" i="7"/>
  <c r="H27" i="7"/>
  <c r="L27" i="7"/>
  <c r="P27" i="7"/>
  <c r="I17" i="7"/>
  <c r="J27" i="7"/>
  <c r="N27" i="7"/>
  <c r="G34" i="6"/>
  <c r="K27" i="7"/>
  <c r="O27" i="7"/>
  <c r="B8" i="11"/>
  <c r="B29" i="2" s="1"/>
  <c r="B19" i="9" s="1"/>
  <c r="B28" i="2"/>
  <c r="B18" i="9" s="1"/>
  <c r="H38" i="1"/>
  <c r="H46" i="1" s="1"/>
  <c r="H57" i="1" s="1"/>
  <c r="M34" i="7"/>
  <c r="M17" i="7"/>
  <c r="M42" i="8"/>
  <c r="M28" i="7"/>
  <c r="M17" i="12"/>
  <c r="C25" i="5"/>
  <c r="G25" i="5"/>
  <c r="O25" i="5"/>
  <c r="I28" i="12"/>
  <c r="I27" i="12" s="1"/>
  <c r="B28" i="12"/>
  <c r="C7" i="12"/>
  <c r="C43" i="12" s="1"/>
  <c r="G17" i="12"/>
  <c r="D25" i="5"/>
  <c r="H25" i="5"/>
  <c r="L25" i="5"/>
  <c r="P25" i="5"/>
  <c r="L7" i="12"/>
  <c r="G7" i="12"/>
  <c r="K29" i="2"/>
  <c r="K19" i="9" s="1"/>
  <c r="K28" i="2"/>
  <c r="K18" i="9" s="1"/>
  <c r="F8" i="11"/>
  <c r="G29" i="2" s="1"/>
  <c r="G28" i="2"/>
  <c r="G18" i="9" s="1"/>
  <c r="E8" i="11"/>
  <c r="F28" i="2"/>
  <c r="F32" i="2" s="1"/>
  <c r="D29" i="7"/>
  <c r="D21" i="8"/>
  <c r="D14" i="8"/>
  <c r="D30" i="7"/>
  <c r="D28" i="7"/>
  <c r="D8" i="8"/>
  <c r="D17" i="7"/>
  <c r="D10" i="7"/>
  <c r="C29" i="7"/>
  <c r="C21" i="8"/>
  <c r="C14" i="8"/>
  <c r="C8" i="8"/>
  <c r="C28" i="7"/>
  <c r="C17" i="7"/>
  <c r="C10" i="7"/>
  <c r="M8" i="11"/>
  <c r="F32" i="7"/>
  <c r="F17" i="7"/>
  <c r="F10" i="7"/>
  <c r="F21" i="8"/>
  <c r="E21" i="8"/>
  <c r="E29" i="7"/>
  <c r="F30" i="7"/>
  <c r="F14" i="8"/>
  <c r="E17" i="7"/>
  <c r="E14" i="8"/>
  <c r="E28" i="7"/>
  <c r="E8" i="8"/>
  <c r="E10" i="7"/>
  <c r="K25" i="5"/>
  <c r="F25" i="5"/>
  <c r="F4" i="4"/>
  <c r="F8" i="4" s="1"/>
  <c r="F27" i="7"/>
  <c r="B32" i="7"/>
  <c r="B10" i="7"/>
  <c r="B17" i="7"/>
  <c r="B14" i="9"/>
  <c r="F14" i="9"/>
  <c r="F15" i="9" s="1"/>
  <c r="C14" i="9"/>
  <c r="E14" i="9"/>
  <c r="I10" i="7"/>
  <c r="M10" i="7"/>
  <c r="P29" i="6"/>
  <c r="P12" i="9" s="1"/>
  <c r="O29" i="6"/>
  <c r="O12" i="9" s="1"/>
  <c r="M29" i="6"/>
  <c r="M12" i="9" s="1"/>
  <c r="K29" i="6"/>
  <c r="K12" i="9" s="1"/>
  <c r="J29" i="6"/>
  <c r="J12" i="9" s="1"/>
  <c r="P24" i="6"/>
  <c r="P11" i="9" s="1"/>
  <c r="O24" i="6"/>
  <c r="O11" i="9" s="1"/>
  <c r="M24" i="6"/>
  <c r="M11" i="9" s="1"/>
  <c r="K24" i="6"/>
  <c r="K11" i="9" s="1"/>
  <c r="J24" i="6"/>
  <c r="J11"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O27" i="12" l="1"/>
  <c r="H27" i="12"/>
  <c r="Q8" i="11"/>
  <c r="U29" i="2" s="1"/>
  <c r="U28" i="2"/>
  <c r="N4" i="4"/>
  <c r="N8" i="4" s="1"/>
  <c r="D5" i="9"/>
  <c r="D15" i="9" s="1"/>
  <c r="D22" i="9" s="1"/>
  <c r="H32" i="2"/>
  <c r="D4" i="3"/>
  <c r="D24" i="3" s="1"/>
  <c r="H4" i="6"/>
  <c r="H35" i="6" s="1"/>
  <c r="H37" i="12" s="1"/>
  <c r="H4" i="3"/>
  <c r="H24" i="3" s="1"/>
  <c r="H39" i="3" s="1"/>
  <c r="D24" i="2"/>
  <c r="D32" i="2" s="1"/>
  <c r="H5" i="9"/>
  <c r="H15" i="9" s="1"/>
  <c r="H22" i="9" s="1"/>
  <c r="M5" i="9"/>
  <c r="D27" i="12"/>
  <c r="C24" i="2"/>
  <c r="C33" i="2" s="1"/>
  <c r="C4" i="3"/>
  <c r="C4" i="6"/>
  <c r="C35" i="6" s="1"/>
  <c r="C37" i="12" s="1"/>
  <c r="N39" i="12"/>
  <c r="M4" i="6"/>
  <c r="J27" i="12"/>
  <c r="E27" i="12"/>
  <c r="M4" i="3"/>
  <c r="G27" i="12"/>
  <c r="G35" i="7"/>
  <c r="K14" i="9"/>
  <c r="C35" i="7"/>
  <c r="M32" i="2"/>
  <c r="J35" i="7"/>
  <c r="H35" i="7"/>
  <c r="K35" i="7"/>
  <c r="P35" i="7"/>
  <c r="I35" i="7"/>
  <c r="J14" i="9"/>
  <c r="G15" i="9"/>
  <c r="G22" i="9" s="1"/>
  <c r="M27" i="12"/>
  <c r="O34" i="6"/>
  <c r="N22" i="9"/>
  <c r="N23" i="9"/>
  <c r="O14" i="9"/>
  <c r="P34" i="6"/>
  <c r="P7" i="9"/>
  <c r="P14" i="9" s="1"/>
  <c r="B33" i="2"/>
  <c r="B32" i="2"/>
  <c r="B27" i="12"/>
  <c r="L35" i="7"/>
  <c r="I23" i="9"/>
  <c r="I22" i="9"/>
  <c r="N35" i="7"/>
  <c r="O35" i="7"/>
  <c r="M35" i="7"/>
  <c r="N27" i="12"/>
  <c r="B5" i="9"/>
  <c r="B15" i="9" s="1"/>
  <c r="P29" i="2"/>
  <c r="P19" i="9" s="1"/>
  <c r="G4" i="3"/>
  <c r="G4" i="6"/>
  <c r="G35" i="6" s="1"/>
  <c r="G37" i="12" s="1"/>
  <c r="G24" i="2"/>
  <c r="B4" i="3"/>
  <c r="B4" i="6"/>
  <c r="B35" i="6" s="1"/>
  <c r="B37" i="12" s="1"/>
  <c r="C15" i="9"/>
  <c r="E4" i="3"/>
  <c r="E5" i="9"/>
  <c r="E15" i="9" s="1"/>
  <c r="E24" i="2"/>
  <c r="E4" i="6"/>
  <c r="E35" i="6" s="1"/>
  <c r="E37" i="12" s="1"/>
  <c r="M14" i="9"/>
  <c r="M34" i="6"/>
  <c r="F18" i="9"/>
  <c r="F22" i="9" s="1"/>
  <c r="F29" i="2"/>
  <c r="F33" i="2" s="1"/>
  <c r="D35" i="7"/>
  <c r="F35" i="7"/>
  <c r="E35" i="7"/>
  <c r="B35" i="7"/>
  <c r="I39" i="12"/>
  <c r="I4" i="4"/>
  <c r="I8" i="4" s="1"/>
  <c r="K34" i="6"/>
  <c r="J34" i="6"/>
  <c r="P13" i="5"/>
  <c r="O13" i="5"/>
  <c r="O5" i="2" s="1"/>
  <c r="O11" i="2" s="1"/>
  <c r="K13" i="5"/>
  <c r="K5" i="2" s="1"/>
  <c r="J13" i="5"/>
  <c r="J5" i="2" s="1"/>
  <c r="J11" i="2" s="1"/>
  <c r="P17" i="2"/>
  <c r="K17" i="2"/>
  <c r="J17" i="2"/>
  <c r="L17" i="2"/>
  <c r="O17" i="2"/>
  <c r="F54" i="1"/>
  <c r="F56" i="1" s="1"/>
  <c r="J54" i="1"/>
  <c r="J56" i="1" s="1"/>
  <c r="F45" i="1"/>
  <c r="F25" i="1"/>
  <c r="J25" i="1"/>
  <c r="D33" i="2" l="1"/>
  <c r="K11" i="2"/>
  <c r="K18" i="2" s="1"/>
  <c r="C32" i="2"/>
  <c r="J18" i="2"/>
  <c r="J20" i="2" s="1"/>
  <c r="J22" i="2" s="1"/>
  <c r="J24" i="2" s="1"/>
  <c r="U18" i="9"/>
  <c r="U22" i="9" s="1"/>
  <c r="U32" i="2"/>
  <c r="U19" i="9"/>
  <c r="U23" i="9" s="1"/>
  <c r="U33" i="2"/>
  <c r="D39" i="3"/>
  <c r="D39" i="12"/>
  <c r="D4" i="4"/>
  <c r="D8" i="4" s="1"/>
  <c r="B24" i="3"/>
  <c r="E24" i="3"/>
  <c r="M24" i="3"/>
  <c r="M39" i="3" s="1"/>
  <c r="C24" i="3"/>
  <c r="G24" i="3"/>
  <c r="G39" i="3" s="1"/>
  <c r="M15" i="9"/>
  <c r="M23" i="9" s="1"/>
  <c r="M35" i="6"/>
  <c r="M37" i="12" s="1"/>
  <c r="H39" i="12"/>
  <c r="H4" i="4"/>
  <c r="H8" i="4" s="1"/>
  <c r="D23" i="9"/>
  <c r="H23" i="9"/>
  <c r="P5" i="2"/>
  <c r="O18" i="2"/>
  <c r="O20" i="2" s="1"/>
  <c r="O22" i="2" s="1"/>
  <c r="O5" i="9" s="1"/>
  <c r="O15" i="9" s="1"/>
  <c r="G40" i="3"/>
  <c r="K40" i="3"/>
  <c r="E23" i="9"/>
  <c r="E22" i="9"/>
  <c r="J32" i="2"/>
  <c r="J33" i="2"/>
  <c r="C22" i="9"/>
  <c r="C23" i="9"/>
  <c r="G32" i="2"/>
  <c r="G33" i="2"/>
  <c r="E33" i="2"/>
  <c r="E32" i="2"/>
  <c r="B23" i="9"/>
  <c r="B22" i="9"/>
  <c r="G19" i="9"/>
  <c r="G23" i="9" s="1"/>
  <c r="F19" i="9"/>
  <c r="F23" i="9" s="1"/>
  <c r="F46" i="1"/>
  <c r="F57" i="1" s="1"/>
  <c r="M43" i="12"/>
  <c r="L43" i="12"/>
  <c r="J43" i="12"/>
  <c r="I43" i="12"/>
  <c r="H43" i="12"/>
  <c r="G43" i="12"/>
  <c r="Q30" i="12"/>
  <c r="Q29" i="12"/>
  <c r="Q28" i="12"/>
  <c r="Q17" i="12"/>
  <c r="Q7" i="12"/>
  <c r="Q43" i="12" s="1"/>
  <c r="O7" i="12"/>
  <c r="O43" i="12" s="1"/>
  <c r="N7" i="12"/>
  <c r="N6" i="11"/>
  <c r="J6" i="11"/>
  <c r="J8" i="11" s="1"/>
  <c r="Q42" i="8"/>
  <c r="Q8" i="8"/>
  <c r="Q31" i="7"/>
  <c r="Q30" i="7"/>
  <c r="Q29" i="7"/>
  <c r="Q28" i="7"/>
  <c r="Q10" i="7"/>
  <c r="Q29" i="6"/>
  <c r="Q12" i="9" s="1"/>
  <c r="L29" i="6"/>
  <c r="L12" i="9" s="1"/>
  <c r="Q24" i="6"/>
  <c r="Q11" i="9" s="1"/>
  <c r="L24" i="6"/>
  <c r="L11" i="9" s="1"/>
  <c r="Q21" i="6"/>
  <c r="Q9" i="9" s="1"/>
  <c r="L21" i="6"/>
  <c r="L9" i="9" s="1"/>
  <c r="Q16" i="6"/>
  <c r="L16" i="6"/>
  <c r="L12" i="6"/>
  <c r="Q8" i="6"/>
  <c r="Q7" i="9" s="1"/>
  <c r="L8" i="6"/>
  <c r="Q24" i="5"/>
  <c r="Q23" i="5"/>
  <c r="Q22" i="5"/>
  <c r="Q19" i="5"/>
  <c r="Q8" i="2" s="1"/>
  <c r="Q13" i="5"/>
  <c r="Q5" i="2" s="1"/>
  <c r="L13" i="5"/>
  <c r="L5" i="2" s="1"/>
  <c r="L11" i="2" s="1"/>
  <c r="L18" i="2" s="1"/>
  <c r="L20" i="2" s="1"/>
  <c r="Q34" i="3"/>
  <c r="Q30" i="3"/>
  <c r="Q21" i="3"/>
  <c r="Q20" i="3"/>
  <c r="Q5" i="3"/>
  <c r="Q16" i="2"/>
  <c r="K54" i="1"/>
  <c r="K56" i="1" s="1"/>
  <c r="K45" i="1"/>
  <c r="J44" i="1"/>
  <c r="J45" i="1" s="1"/>
  <c r="J46" i="1" s="1"/>
  <c r="K37" i="1"/>
  <c r="K38" i="1" s="1"/>
  <c r="K25" i="1"/>
  <c r="J4" i="3" l="1"/>
  <c r="J24" i="3" s="1"/>
  <c r="J39" i="3" s="1"/>
  <c r="J4" i="6"/>
  <c r="J35" i="6" s="1"/>
  <c r="J37" i="12" s="1"/>
  <c r="K20" i="2"/>
  <c r="K22" i="2" s="1"/>
  <c r="K24" i="2" s="1"/>
  <c r="K32" i="2" s="1"/>
  <c r="J5" i="9"/>
  <c r="J15" i="9" s="1"/>
  <c r="J22" i="9" s="1"/>
  <c r="P11" i="2"/>
  <c r="P18" i="2" s="1"/>
  <c r="G41" i="3"/>
  <c r="C8" i="1" s="1"/>
  <c r="C15" i="1" s="1"/>
  <c r="C26" i="1" s="1"/>
  <c r="C4" i="4"/>
  <c r="C8" i="4" s="1"/>
  <c r="C39" i="3"/>
  <c r="E4" i="4"/>
  <c r="E8" i="4" s="1"/>
  <c r="E39" i="3"/>
  <c r="B39" i="12"/>
  <c r="B39" i="3"/>
  <c r="B41" i="3" s="1"/>
  <c r="B45" i="12" s="1"/>
  <c r="G4" i="4"/>
  <c r="G8" i="4" s="1"/>
  <c r="Q17" i="3"/>
  <c r="M4" i="4"/>
  <c r="M8" i="4" s="1"/>
  <c r="M39" i="12"/>
  <c r="C39" i="12"/>
  <c r="E39" i="12"/>
  <c r="G39" i="12"/>
  <c r="B4" i="4"/>
  <c r="B8" i="4" s="1"/>
  <c r="Q37" i="3"/>
  <c r="U34" i="3"/>
  <c r="U37" i="3" s="1"/>
  <c r="U39" i="3" s="1"/>
  <c r="M22" i="9"/>
  <c r="O4" i="3"/>
  <c r="O4" i="6"/>
  <c r="O35" i="6" s="1"/>
  <c r="O37" i="12" s="1"/>
  <c r="O24" i="2"/>
  <c r="O32" i="2" s="1"/>
  <c r="Q11" i="2"/>
  <c r="Q14" i="9"/>
  <c r="O22" i="9"/>
  <c r="O23" i="9"/>
  <c r="Q17" i="2"/>
  <c r="Q18" i="7"/>
  <c r="Q26" i="7" s="1"/>
  <c r="L7" i="9"/>
  <c r="L14" i="9" s="1"/>
  <c r="L34" i="6"/>
  <c r="L29" i="2"/>
  <c r="L19" i="9" s="1"/>
  <c r="L28" i="2"/>
  <c r="L18" i="9" s="1"/>
  <c r="N8" i="11"/>
  <c r="Q29" i="2" s="1"/>
  <c r="Q19" i="9" s="1"/>
  <c r="Q28" i="2"/>
  <c r="Q18" i="9" s="1"/>
  <c r="Q27" i="12"/>
  <c r="N43" i="12"/>
  <c r="K46" i="1"/>
  <c r="K57" i="1" s="1"/>
  <c r="J57" i="1"/>
  <c r="Q34" i="6"/>
  <c r="Q25" i="5"/>
  <c r="K5" i="9" l="1"/>
  <c r="K15" i="9" s="1"/>
  <c r="J23" i="9"/>
  <c r="K4" i="3"/>
  <c r="K24" i="3" s="1"/>
  <c r="K4" i="4" s="1"/>
  <c r="K8" i="4" s="1"/>
  <c r="K4" i="6"/>
  <c r="K35" i="6" s="1"/>
  <c r="P20" i="2"/>
  <c r="P22" i="2" s="1"/>
  <c r="K33" i="2"/>
  <c r="O33" i="2"/>
  <c r="C40" i="3"/>
  <c r="C41" i="3" s="1"/>
  <c r="J4" i="4"/>
  <c r="J8" i="4" s="1"/>
  <c r="J39" i="12"/>
  <c r="H40" i="3"/>
  <c r="H41" i="3" s="1"/>
  <c r="G45" i="12"/>
  <c r="O24" i="3"/>
  <c r="O39" i="3" s="1"/>
  <c r="Q18" i="2"/>
  <c r="Q20" i="2" s="1"/>
  <c r="Q27" i="7"/>
  <c r="Q35" i="7" s="1"/>
  <c r="L22" i="2"/>
  <c r="K23" i="9" l="1"/>
  <c r="K39" i="3"/>
  <c r="K41" i="3" s="1"/>
  <c r="L40" i="3" s="1"/>
  <c r="K22" i="9"/>
  <c r="P24" i="2"/>
  <c r="P4" i="3"/>
  <c r="P24" i="3" s="1"/>
  <c r="P39" i="3" s="1"/>
  <c r="P5" i="9"/>
  <c r="P15" i="9" s="1"/>
  <c r="P4" i="6"/>
  <c r="P35" i="6" s="1"/>
  <c r="D40" i="3"/>
  <c r="D41" i="3" s="1"/>
  <c r="D8" i="1"/>
  <c r="D15" i="1" s="1"/>
  <c r="D26" i="1" s="1"/>
  <c r="O4" i="4"/>
  <c r="O8" i="4" s="1"/>
  <c r="O39" i="12"/>
  <c r="L24" i="2"/>
  <c r="L4" i="6"/>
  <c r="L35" i="6" s="1"/>
  <c r="L37" i="12" s="1"/>
  <c r="L4" i="3"/>
  <c r="L24" i="3" s="1"/>
  <c r="L39" i="3" s="1"/>
  <c r="L5" i="9"/>
  <c r="L15" i="9" s="1"/>
  <c r="Q22" i="2"/>
  <c r="L41" i="3" l="1"/>
  <c r="G8" i="1" s="1"/>
  <c r="G15" i="1" s="1"/>
  <c r="G26" i="1" s="1"/>
  <c r="P40" i="3"/>
  <c r="P41" i="3"/>
  <c r="Q40" i="3" s="1"/>
  <c r="P33" i="2"/>
  <c r="P32" i="2"/>
  <c r="P23" i="9"/>
  <c r="P22" i="9"/>
  <c r="P4" i="4"/>
  <c r="P8" i="4" s="1"/>
  <c r="C45" i="12"/>
  <c r="H45" i="12"/>
  <c r="E40" i="3"/>
  <c r="E41" i="3" s="1"/>
  <c r="I40" i="3"/>
  <c r="I41" i="3" s="1"/>
  <c r="L22" i="9"/>
  <c r="L23" i="9"/>
  <c r="L32" i="2"/>
  <c r="L33" i="2"/>
  <c r="L4" i="4"/>
  <c r="L8" i="4" s="1"/>
  <c r="L39" i="12"/>
  <c r="Q5" i="9"/>
  <c r="Q15" i="9" s="1"/>
  <c r="Q4" i="6"/>
  <c r="Q35" i="6" s="1"/>
  <c r="Q37" i="12" s="1"/>
  <c r="Q4" i="3"/>
  <c r="Q24" i="3" s="1"/>
  <c r="Q39" i="3" s="1"/>
  <c r="Q24" i="2"/>
  <c r="Q41" i="3" l="1"/>
  <c r="K8" i="1" s="1"/>
  <c r="K15" i="1" s="1"/>
  <c r="K26" i="1" s="1"/>
  <c r="U40" i="3"/>
  <c r="U41" i="3" s="1"/>
  <c r="Z40" i="3" s="1"/>
  <c r="Z41" i="3" s="1"/>
  <c r="AE40" i="3" s="1"/>
  <c r="AE41" i="3" s="1"/>
  <c r="AF40" i="3" s="1"/>
  <c r="AF41" i="3" s="1"/>
  <c r="AG40" i="3" s="1"/>
  <c r="AG41" i="3" s="1"/>
  <c r="AH40" i="3" s="1"/>
  <c r="AH41" i="3" s="1"/>
  <c r="AI40" i="3" s="1"/>
  <c r="AI41" i="3" s="1"/>
  <c r="R8" i="1"/>
  <c r="R15" i="1" s="1"/>
  <c r="R26" i="1" s="1"/>
  <c r="B8" i="1"/>
  <c r="B15" i="1" s="1"/>
  <c r="B26" i="1" s="1"/>
  <c r="V40" i="3"/>
  <c r="V41" i="3" s="1"/>
  <c r="D45" i="12"/>
  <c r="L45" i="12"/>
  <c r="M40" i="3"/>
  <c r="M41" i="3" s="1"/>
  <c r="Q33" i="2"/>
  <c r="Q32" i="2"/>
  <c r="Q23" i="9"/>
  <c r="Q22" i="9"/>
  <c r="Q4" i="4"/>
  <c r="Q8" i="4" s="1"/>
  <c r="Q39" i="12"/>
  <c r="AA40" i="3" l="1"/>
  <c r="AA41" i="3" s="1"/>
  <c r="AB40" i="3" s="1"/>
  <c r="AB41" i="3" s="1"/>
  <c r="AC40" i="3" s="1"/>
  <c r="AC41" i="3" s="1"/>
  <c r="AD40" i="3" s="1"/>
  <c r="AD41" i="3" s="1"/>
  <c r="AJ40" i="3"/>
  <c r="AJ41" i="3" s="1"/>
  <c r="W8" i="1"/>
  <c r="W15" i="1" s="1"/>
  <c r="W26" i="1" s="1"/>
  <c r="AF45" i="12"/>
  <c r="AI45" i="12"/>
  <c r="X8" i="1"/>
  <c r="X15" i="1" s="1"/>
  <c r="X26" i="1" s="1"/>
  <c r="AG45" i="12"/>
  <c r="Y8" i="1"/>
  <c r="AH45" i="12"/>
  <c r="AB45" i="12"/>
  <c r="T8" i="1"/>
  <c r="T15" i="1" s="1"/>
  <c r="T26" i="1" s="1"/>
  <c r="AA45" i="12"/>
  <c r="S8" i="1"/>
  <c r="S15" i="1" s="1"/>
  <c r="S26" i="1" s="1"/>
  <c r="E45" i="12"/>
  <c r="I45" i="12"/>
  <c r="J40" i="3"/>
  <c r="J41" i="3" s="1"/>
  <c r="E8" i="1"/>
  <c r="E15" i="1" s="1"/>
  <c r="E26" i="1" s="1"/>
  <c r="H8" i="1"/>
  <c r="H15" i="1" s="1"/>
  <c r="H26" i="1" s="1"/>
  <c r="Q45" i="12"/>
  <c r="R40" i="3"/>
  <c r="R41" i="3" s="1"/>
  <c r="N40" i="3"/>
  <c r="N41" i="3" s="1"/>
  <c r="M45" i="12"/>
  <c r="AO40" i="3" l="1"/>
  <c r="AO41" i="3" s="1"/>
  <c r="AD26" i="1"/>
  <c r="Z8" i="1"/>
  <c r="AK40" i="3"/>
  <c r="AK41" i="3" s="1"/>
  <c r="AL40" i="3" s="1"/>
  <c r="AL41" i="3" s="1"/>
  <c r="Z15" i="1"/>
  <c r="Z26" i="1" s="1"/>
  <c r="Y15" i="1"/>
  <c r="Y26" i="1" s="1"/>
  <c r="AD45" i="12"/>
  <c r="V8" i="1"/>
  <c r="V15" i="1" s="1"/>
  <c r="V26" i="1" s="1"/>
  <c r="AC45" i="12"/>
  <c r="U8" i="1"/>
  <c r="U15" i="1" s="1"/>
  <c r="U26" i="1" s="1"/>
  <c r="J45" i="12"/>
  <c r="O40" i="3"/>
  <c r="O41" i="3" s="1"/>
  <c r="O8" i="1"/>
  <c r="O15" i="1" s="1"/>
  <c r="O26" i="1" s="1"/>
  <c r="V45" i="12"/>
  <c r="R45" i="12"/>
  <c r="W40" i="3"/>
  <c r="W41" i="3" s="1"/>
  <c r="X40" i="3" s="1"/>
  <c r="X41" i="3" s="1"/>
  <c r="Y40" i="3" s="1"/>
  <c r="Y41" i="3" s="1"/>
  <c r="Y45" i="12" s="1"/>
  <c r="AJ45" i="12" l="1"/>
  <c r="AA8" i="1"/>
  <c r="AM40" i="3"/>
  <c r="AM41" i="3" s="1"/>
  <c r="AB15" i="1"/>
  <c r="AB26" i="1" s="1"/>
  <c r="AK45" i="12"/>
  <c r="AA15" i="1"/>
  <c r="AA26" i="1" s="1"/>
  <c r="X45" i="12"/>
  <c r="Q8" i="1"/>
  <c r="Q15" i="1" s="1"/>
  <c r="Q26" i="1" s="1"/>
  <c r="S40" i="3"/>
  <c r="S41" i="3" s="1"/>
  <c r="L8" i="1"/>
  <c r="L15" i="1" s="1"/>
  <c r="L26" i="1" s="1"/>
  <c r="I8" i="1"/>
  <c r="N45" i="12"/>
  <c r="W45" i="12"/>
  <c r="P8" i="1"/>
  <c r="P15" i="1" s="1"/>
  <c r="P26" i="1" s="1"/>
  <c r="F8" i="1"/>
  <c r="F15" i="1" s="1"/>
  <c r="F26" i="1" s="1"/>
  <c r="O45" i="12"/>
  <c r="J8" i="1"/>
  <c r="J15" i="1" s="1"/>
  <c r="J26" i="1" s="1"/>
  <c r="AL45" i="12" l="1"/>
  <c r="AN40" i="3"/>
  <c r="AN41" i="3" s="1"/>
  <c r="AM45" i="12" s="1"/>
  <c r="S45" i="12"/>
  <c r="T40" i="3"/>
  <c r="T41" i="3" s="1"/>
  <c r="M8" i="1"/>
  <c r="M15" i="1" s="1"/>
  <c r="M26" i="1" s="1"/>
  <c r="T45" i="12" l="1"/>
  <c r="N8" i="1"/>
  <c r="N15" i="1" s="1"/>
  <c r="N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tc={92E4EF2F-F279-49E7-AAFD-ADF1B7DC7EFF}</author>
  </authors>
  <commentList>
    <comment ref="A42" authorId="0" shapeId="0" xr:uid="{92E4EF2F-F279-49E7-AAFD-ADF1B7DC7EFF}">
      <text>
        <t>[Threaded comment]
Your version of Excel allows you to read this threaded comment; however, any edits to it will get removed if the file is opened in a newer version of Excel. Learn more: https://go.microsoft.com/fwlink/?linkid=870924
Comment:
    New disclosure implemented as of Q2 2019</t>
      </text>
    </comment>
  </commentList>
</comments>
</file>

<file path=xl/sharedStrings.xml><?xml version="1.0" encoding="utf-8"?>
<sst xmlns="http://schemas.openxmlformats.org/spreadsheetml/2006/main" count="927" uniqueCount="299">
  <si>
    <t>(U.S. dollars in thousands, except share and per share data) (unaudited)</t>
  </si>
  <si>
    <t>Revenue</t>
  </si>
  <si>
    <t>Contribution ex-TAC</t>
  </si>
  <si>
    <t>Consolidated Statement of Financial Position</t>
  </si>
  <si>
    <t>(U.S. dollars in thousands) (unaudited)</t>
  </si>
  <si>
    <t>December 31,</t>
  </si>
  <si>
    <t>March 31,</t>
  </si>
  <si>
    <t>June 30,</t>
  </si>
  <si>
    <t>September 30,</t>
  </si>
  <si>
    <t>2017</t>
  </si>
  <si>
    <t>2018</t>
  </si>
  <si>
    <t>Assets</t>
  </si>
  <si>
    <t>Current assets:</t>
  </si>
  <si>
    <t>Cash and cash equivalents</t>
  </si>
  <si>
    <t>Trade receivables, net of allowances</t>
  </si>
  <si>
    <t>Income taxes</t>
  </si>
  <si>
    <t>Other taxes</t>
  </si>
  <si>
    <t>Other current assets</t>
  </si>
  <si>
    <t>Restricted cash - current</t>
  </si>
  <si>
    <t>Marketable Securities - current portion</t>
  </si>
  <si>
    <t>Total current assets</t>
  </si>
  <si>
    <t>Property, plant and equipment, net</t>
  </si>
  <si>
    <t>Intangible assets, net</t>
  </si>
  <si>
    <t>Goodwill</t>
  </si>
  <si>
    <t>Right of Use Asset - operating lease</t>
  </si>
  <si>
    <t xml:space="preserve">Restricted cash - non current </t>
  </si>
  <si>
    <t>Marketable Securities - non current portion</t>
  </si>
  <si>
    <t>Non-current financial assets</t>
  </si>
  <si>
    <t xml:space="preserve">Other non-current assets </t>
  </si>
  <si>
    <t>Deferred tax assets</t>
  </si>
  <si>
    <t>Total non current assets</t>
  </si>
  <si>
    <t>Total assets</t>
  </si>
  <si>
    <t>Liabilities and shareholders' equity</t>
  </si>
  <si>
    <t>Current liabilities:</t>
  </si>
  <si>
    <t>Trade payables</t>
  </si>
  <si>
    <t>Contingencies</t>
  </si>
  <si>
    <t>Financial liabilities - current portion</t>
  </si>
  <si>
    <t>Lease liability - operating - current portion</t>
  </si>
  <si>
    <t>Employee - related payables</t>
  </si>
  <si>
    <t>Other current liabilities</t>
  </si>
  <si>
    <t>Total current liabilities</t>
  </si>
  <si>
    <t>Deferred tax liabilities</t>
  </si>
  <si>
    <t>Defined benefit plans</t>
  </si>
  <si>
    <r>
      <t>Financial liabilities - non</t>
    </r>
    <r>
      <rPr>
        <sz val="10"/>
        <color rgb="FFFF0000"/>
        <rFont val="Arial"/>
        <family val="2"/>
        <scheme val="minor"/>
      </rPr>
      <t>-</t>
    </r>
    <r>
      <rPr>
        <sz val="10"/>
        <color rgb="FF000000"/>
        <rFont val="Arial"/>
        <family val="2"/>
        <scheme val="minor"/>
      </rPr>
      <t>current portion</t>
    </r>
  </si>
  <si>
    <r>
      <t>Lease liability - operating - non</t>
    </r>
    <r>
      <rPr>
        <sz val="10"/>
        <color rgb="FFFF0000"/>
        <rFont val="Arial"/>
        <family val="2"/>
        <scheme val="minor"/>
      </rPr>
      <t>-</t>
    </r>
    <r>
      <rPr>
        <sz val="10"/>
        <color rgb="FF000000"/>
        <rFont val="Arial"/>
        <family val="2"/>
        <scheme val="minor"/>
      </rPr>
      <t>current portion</t>
    </r>
  </si>
  <si>
    <t xml:space="preserve">Provision for risk and charges - non current </t>
  </si>
  <si>
    <t>Other non-current liabilities</t>
  </si>
  <si>
    <t>Total non-current liabilities</t>
  </si>
  <si>
    <t>Total liabilities</t>
  </si>
  <si>
    <t>Commitments and contingencies</t>
  </si>
  <si>
    <t>Shareholders' equity:</t>
  </si>
  <si>
    <t>Common shares, €0.025 par value</t>
  </si>
  <si>
    <t>Treasury stock</t>
  </si>
  <si>
    <t>Additional paid-in capital</t>
  </si>
  <si>
    <t>Accumulated other comprehensive income (loss)</t>
  </si>
  <si>
    <t>Retained earnings</t>
  </si>
  <si>
    <t>Equity - attributable to shareholders of Criteo S.A.</t>
  </si>
  <si>
    <t>Non-controlling interests</t>
  </si>
  <si>
    <t>Total equity</t>
  </si>
  <si>
    <t>Total equity and liabilities</t>
  </si>
  <si>
    <t>Consolidated Statement of Income</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</si>
  <si>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</si>
  <si>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</si>
  <si>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</si>
  <si>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</si>
  <si>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</si>
  <si>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</si>
  <si>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</si>
  <si>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</si>
  <si>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</si>
  <si>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</si>
  <si>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</si>
  <si>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</si>
  <si>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</si>
  <si>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</si>
  <si>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</si>
  <si>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</si>
  <si>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</si>
  <si>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</si>
  <si>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</si>
  <si>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</si>
  <si>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</si>
  <si>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</si>
  <si>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</si>
  <si>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</si>
  <si>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</si>
  <si>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</si>
  <si>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</si>
  <si>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</si>
  <si>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</si>
  <si>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</si>
  <si>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</si>
  <si>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</si>
  <si>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</si>
  <si>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</si>
  <si>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</si>
  <si>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Q1 2022</t>
  </si>
  <si>
    <t>Q2 2022</t>
  </si>
  <si>
    <t>Q3 2022</t>
  </si>
  <si>
    <t>Q4 2022</t>
  </si>
  <si>
    <t>FY 2022</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</si>
  <si>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</si>
  <si>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</si>
  <si>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</si>
  <si>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</si>
  <si>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</si>
  <si>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</si>
  <si>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</si>
  <si>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</si>
  <si>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</si>
  <si>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from operations</t>
  </si>
  <si>
    <t>Financial and Other income (expense)</t>
  </si>
  <si>
    <t>Income before taxes</t>
  </si>
  <si>
    <t>Provision for income taxes</t>
  </si>
  <si>
    <t>Net Income (loss)</t>
  </si>
  <si>
    <t>Net income available to shareholders of Criteo S.A</t>
  </si>
  <si>
    <t>Net income available to non-controlling interests</t>
  </si>
  <si>
    <t>Weighted average shares outstanding used in computing per share amounts:</t>
  </si>
  <si>
    <t>Basic</t>
  </si>
  <si>
    <t>Diluted</t>
  </si>
  <si>
    <t>Net income allocated  to shareholders per share:</t>
  </si>
  <si>
    <t>Consolidated Statement of Cash Flows</t>
  </si>
  <si>
    <t>Net income</t>
  </si>
  <si>
    <t>Non-cash and non-operating items</t>
  </si>
  <si>
    <t>- Amortization and provisions</t>
  </si>
  <si>
    <t>- Equity awards compensation expense</t>
  </si>
  <si>
    <t>- Net gain or (loss) on disposal of non-current assets</t>
  </si>
  <si>
    <t>- Interest accrued and non-cash financial income and expenses</t>
  </si>
  <si>
    <t xml:space="preserve">- Change in uncertain tax positions </t>
  </si>
  <si>
    <t>- Net change in fair value of Earn-out</t>
  </si>
  <si>
    <t>- Change in deferred taxes</t>
  </si>
  <si>
    <t>Income tax for the period</t>
  </si>
  <si>
    <t>Income taxes paid</t>
  </si>
  <si>
    <t xml:space="preserve"> — </t>
  </si>
  <si>
    <t>- Change in income taxes</t>
  </si>
  <si>
    <t>- Other (1)</t>
  </si>
  <si>
    <t>Changes in working capital related to operating activities</t>
  </si>
  <si>
    <t>- (Increase)/decrease in trade receivables</t>
  </si>
  <si>
    <t>- Increase/(decrease) in trade payables</t>
  </si>
  <si>
    <t>- (Increase)/decrease in other current assets</t>
  </si>
  <si>
    <t>- Increase/(decrease) in other current liabilities (1)</t>
  </si>
  <si>
    <t>- Change in derivatives</t>
  </si>
  <si>
    <t>- Change in operating lease liabilities and right of use assets</t>
  </si>
  <si>
    <t>CASH FROM OPERATING ACTIVITIES</t>
  </si>
  <si>
    <t>Acquisition of intangible assets, property, plant and equipment</t>
  </si>
  <si>
    <t>Change in accounts payable related to intangible assets, property, plant and equipment</t>
  </si>
  <si>
    <t xml:space="preserve">Payment for intangibles assets acquired </t>
  </si>
  <si>
    <t>(Payment for) disposal of a business, net of cash acquired (disposed)</t>
  </si>
  <si>
    <t>Change in other non-current financial assets</t>
  </si>
  <si>
    <t>CASH USED FOR INVESTING ACTIVITIES</t>
  </si>
  <si>
    <t>Proceeds from borrowings under line-of-credit agreement</t>
  </si>
  <si>
    <t>—</t>
  </si>
  <si>
    <t>Repayment of borrowings</t>
  </si>
  <si>
    <t>Proceeds from exercise of stock options</t>
  </si>
  <si>
    <t>Change in other financial liabilities (1)</t>
  </si>
  <si>
    <t>Repurchase of treasury stocks</t>
  </si>
  <si>
    <t xml:space="preserve">Other </t>
  </si>
  <si>
    <t>CASH FROM (USED FOR) FINANCING ACTIVITIES</t>
  </si>
  <si>
    <t>Effect of exchange rates changes on cash and cash equivalents (1)</t>
  </si>
  <si>
    <t>CHANGE IN NET CASH AND CASH EQUIVALENTS</t>
  </si>
  <si>
    <t>Net cash and cash equivalents at beginning of period</t>
  </si>
  <si>
    <t>Net cash and cash equivalents at end of period</t>
  </si>
  <si>
    <t>SUPPLEMENTAL DISCLOSURE OF CASH FLOW INFORMATION</t>
  </si>
  <si>
    <t>Cash paid for taxes</t>
  </si>
  <si>
    <t>Cash paid for interest, net of amounts capitalized</t>
  </si>
  <si>
    <t>(1) Since Q3 2017, the Company reported the cash impact of the settlement of hedging derivatives related to financing activities in cash from (used for) financing activities in the unaudited consolidated statements of cash flows.</t>
  </si>
  <si>
    <t>Reconciliation of Cash from Operating Activities to Free Cash Flow</t>
  </si>
  <si>
    <t>Proceeds from disposal of intangible assets, property, plant and equipment</t>
  </si>
  <si>
    <r>
      <t xml:space="preserve">FREE CASH FLOW </t>
    </r>
    <r>
      <rPr>
        <b/>
        <vertAlign val="superscript"/>
        <sz val="10"/>
        <color rgb="FF000000"/>
        <rFont val="Arial"/>
        <family val="2"/>
        <scheme val="minor"/>
      </rPr>
      <t>(1)</t>
    </r>
  </si>
  <si>
    <t>(1) Free Cash Flow is defined as cash flow from operating activities less acquisition of intangible assets, property, plant and equipment and change in accounts payable related to intangible assets, property, plant and equipment.</t>
  </si>
  <si>
    <t>Reconciliation of Contribution ex-TAC to Gross Profit</t>
  </si>
  <si>
    <t>Gross Profit</t>
  </si>
  <si>
    <t>Other Cost of Revenue</t>
  </si>
  <si>
    <t>Contribution ex-TAC (1)</t>
  </si>
  <si>
    <t>Region</t>
  </si>
  <si>
    <t>Americas</t>
  </si>
  <si>
    <t>EMEA</t>
  </si>
  <si>
    <t>Asia-Pacific</t>
  </si>
  <si>
    <t>Total</t>
  </si>
  <si>
    <t>Traffic acquisition costs</t>
  </si>
  <si>
    <t>Segment</t>
  </si>
  <si>
    <t>Marketing Solutions</t>
  </si>
  <si>
    <t>Retail Media (2)</t>
  </si>
  <si>
    <t>Iponweb</t>
  </si>
  <si>
    <r>
      <t xml:space="preserve">(1) We define Contribution ex-TAC as our revenue excluding traffic acquisition costs generated over the applicable measurement period. Contribution ex-TAC, is not a measure calculated in accordance with U.S. GAAP. We have included Contribution ex-TAC because it is a key measure used by our management and board of directors to evaluate operating performance, generate future operating plans and make strategic decisions regarding the allocation of capital. In particular, we believe that the elimination of TAC from revenue and review of this measure can provide useful measures for period-to-period comparisons of our business. Accordingly, we believe that Contribution ex-TAC provides useful information to investors and others in understanding and evaluating our results of operations in the same manner as our management and board of directors.
Our use of Contribution ex-TAC has limitations as an analytical tool, and you should not consider them in isolation or as a substitute for analysis of our financial results as </t>
    </r>
    <r>
      <rPr>
        <sz val="10"/>
        <rFont val="Arial"/>
        <family val="2"/>
        <scheme val="minor"/>
      </rPr>
      <t>reported under U.S. GAAP. Some of these limitations are: (a) other companies, including companies in our industry which have similar business arrangements, may address the impact of TAC differently; (b) other companies may report Contribution ex-TAC or similarly titled measures but calculate them differently, which reduces their usefulness as a comparative measure. Because of these and other limitations, you should consider Contribution ex-TAC alongside our other U.S. GAAP financial result measures. The above tables provide a reconciliation of Contribution ex-TAC to gross profit.
(2) Criteo operates as two reportable segments from December 31, 2021. The table above presents the operating results of our Marketing Solutions and Retail Media segments.
A strategic building block of Criteo’s Commerce Media Platform, the Retail Media Platform, introduced in June 2020, and reported under the retail media segment, is a selfservice solution providing transparency, measurement and control to brands and retailers. In all arrangements running on this platform, Criteo recognizes revenue on a net basis, whereas revenue from arrangements running on legacy Retail Media solutions are accounted for on a gross basis. We expect most clients using Criteo’s legacy Retail Media solutions to transition to this platform by the second half of 2022. As new clients onboard and existing clients transition to the Retail Media Platform, Revenue may decline but Contribution ex-TAC margin will increase. Contribution ex-TAC will not be impacted by this transition.</t>
    </r>
  </si>
  <si>
    <t>Reconciliation from Non-GAAP Operating Expenses to Operating Expenses under GAAP</t>
  </si>
  <si>
    <t>Research and Development expenses</t>
  </si>
  <si>
    <t>Equity awards compensation expense</t>
  </si>
  <si>
    <t>Depreciation and Amortization expense</t>
  </si>
  <si>
    <t>Pension service costs</t>
  </si>
  <si>
    <t>Restructuring, integration and transformation costs</t>
  </si>
  <si>
    <t>Acquisition-related deferred price consideration</t>
  </si>
  <si>
    <t>Non GAAP - Research and Development expenses</t>
  </si>
  <si>
    <t>Sales and Operations expenses</t>
  </si>
  <si>
    <t>Acquisition-related  costs</t>
  </si>
  <si>
    <t>Non GAAP - Sales and Operations expenses</t>
  </si>
  <si>
    <t>General and Administrative expenses</t>
  </si>
  <si>
    <t>Acquisition-related costs</t>
  </si>
  <si>
    <t>Loss contingency on regulatory matter</t>
  </si>
  <si>
    <t>Non GAAP - General and Administrative expenses</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</si>
  <si>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</si>
  <si>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</si>
  <si>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Reconciliation of Adjusted EBITDA to Net income</t>
  </si>
  <si>
    <t>Adjustments:</t>
  </si>
  <si>
    <t>Financial (income) expense</t>
  </si>
  <si>
    <t>Research and development</t>
  </si>
  <si>
    <t>Sales and operations</t>
  </si>
  <si>
    <t>General and administrative</t>
  </si>
  <si>
    <t>Depreciation and amortization expense</t>
  </si>
  <si>
    <t>Cost of revenue (data center equipment)</t>
  </si>
  <si>
    <t>Total net adjustments</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</si>
  <si>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</si>
  <si>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</si>
  <si>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Detailed Information on Selected Items</t>
  </si>
  <si>
    <t>Total equity awards compensation expense</t>
  </si>
  <si>
    <t>Total pension service costs</t>
  </si>
  <si>
    <t>Total depreciation and amortization expense</t>
  </si>
  <si>
    <t>Total acquisition-related costs</t>
  </si>
  <si>
    <t>Total loss contingency on regulatory matter</t>
  </si>
  <si>
    <t>Total acquisition-related deferred price consideration</t>
  </si>
  <si>
    <t>Total restructuring</t>
  </si>
  <si>
    <t>Reconciliation of Adjusted Net Income to Net Income</t>
  </si>
  <si>
    <t>(U.S. dollars in thousands except share and per share data) (unaudited)</t>
  </si>
  <si>
    <t>Amortization of acquisition-related intangible assets</t>
  </si>
  <si>
    <t>Tax impact of the above adjustments</t>
  </si>
  <si>
    <r>
      <t>Adjusted net income</t>
    </r>
    <r>
      <rPr>
        <b/>
        <vertAlign val="superscript"/>
        <sz val="10"/>
        <color rgb="FF000000"/>
        <rFont val="Arial"/>
        <family val="2"/>
        <scheme val="minor"/>
      </rPr>
      <t>(1)</t>
    </r>
  </si>
  <si>
    <t>Weighted average shares outstanding</t>
  </si>
  <si>
    <t>- Basic</t>
  </si>
  <si>
    <t>- Diluted</t>
  </si>
  <si>
    <t>Adjusted net income per share</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</si>
  <si>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</si>
  <si>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Supplemental Financial Information and Operating Metrics</t>
  </si>
  <si>
    <t>(U.S. dollars in thousands except where stated) (unaudited)</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</si>
  <si>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</si>
  <si>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</si>
  <si>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</si>
  <si>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</si>
  <si>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</si>
  <si>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</si>
  <si>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</si>
  <si>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</si>
  <si>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</si>
  <si>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</si>
  <si>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</si>
  <si>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</si>
  <si>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</si>
  <si>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</si>
  <si>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</si>
  <si>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</si>
  <si>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</si>
  <si>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</si>
  <si>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</si>
  <si>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</si>
  <si>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</si>
  <si>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</si>
  <si>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</si>
  <si>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</si>
  <si>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</si>
  <si>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</si>
  <si>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</si>
  <si>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</si>
  <si>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</si>
  <si>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</si>
  <si>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</si>
  <si>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</si>
  <si>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Clients</t>
  </si>
  <si>
    <t>APAC</t>
  </si>
  <si>
    <t>N/A</t>
  </si>
  <si>
    <t>Retail Media</t>
  </si>
  <si>
    <t>TAC</t>
  </si>
  <si>
    <t>Revenue ex-TAC</t>
  </si>
  <si>
    <t>Cash flow from operating activities</t>
  </si>
  <si>
    <t>Capital expenditures</t>
  </si>
  <si>
    <t>Capital expenditures / Revenue</t>
  </si>
  <si>
    <t>Net cash position</t>
  </si>
  <si>
    <t>Headcount</t>
  </si>
  <si>
    <t>Days Sales Outstanding (days - end of month) (2)</t>
  </si>
  <si>
    <t>(1) Adjusted EBITDA is not a measure calculated in accordance with U.S. GAAP. See the table entitled "Reconciliation of Adjusted EBITDA to Net Income" for a reconciliation of Adjusted EBITDA to net income.</t>
  </si>
  <si>
    <t>(2)  Due to the conversion from IFRS (euros) to U.S. GAAP (U.S. dollars), the Days Sales Outstanding for historic quarters has not been recalculated and is not available.</t>
  </si>
  <si>
    <t>Information on Share Count</t>
  </si>
  <si>
    <t>(unaudited)</t>
  </si>
  <si>
    <t>Three Months Ended</t>
  </si>
  <si>
    <t>Six Months Ended</t>
  </si>
  <si>
    <t>Nine Months Ended</t>
  </si>
  <si>
    <t>Twelve Months Ended</t>
  </si>
  <si>
    <t>9/30/17</t>
  </si>
  <si>
    <t>Shares outstanding as at January 1</t>
  </si>
  <si>
    <t>Weighted average number of shares issued during the period</t>
  </si>
  <si>
    <t>Basic number of shares - Basic EPS basis</t>
  </si>
  <si>
    <t>Dilutive effect of  share options, warrants, employee warrants - Treasury method</t>
  </si>
  <si>
    <t>Diluted number of shares - Diluted EPS basis</t>
  </si>
  <si>
    <t>Shares issued as of end of Quarter, before treasury stocks</t>
  </si>
  <si>
    <t>Treasury stock as of end of Quarter</t>
  </si>
  <si>
    <t>Shares outstanding as at end of Quarter, after treasury stocks</t>
  </si>
  <si>
    <t>Total dilutive effect of share options, warrants, employee warrants</t>
  </si>
  <si>
    <t>Fully diluted shares as at end of Quarter</t>
  </si>
  <si>
    <t>Contribution ex-TAC ($M)</t>
  </si>
  <si>
    <t>Retargeting</t>
  </si>
  <si>
    <t>Commerce audiences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</si>
</sst>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 numFmtId="169" formatCode="0.0%"/>
    <numFmt numFmtId="170" formatCode="_(&quot;€&quot;* #,##0.00_);_(&quot;€&quot;* \(#,##0.00\);_(&quot;€&quot;* &quot;-&quot;??_);_(@_)"/>
    <numFmt numFmtId="171" formatCode="_-* #,##0.00\ _€_-;\-* #,##0.00\ _€_-;_-* &quot;-&quot;??\ _€_-;_-@_-"/>
    <numFmt numFmtId="172" formatCode="###,000"/>
    <numFmt numFmtId="173" formatCode="0.0"/>
  </numFmts>
  <fonts count="32" x14ac:knownFonts="1">
    <font>
      <sz val="10"/>
      <color rgb="FF000000"/>
      <name val="Times New Roman"/>
    </font>
    <font>
      <sz val="11"/>
      <color theme="1"/>
      <name val="Arial"/>
      <family val="2"/>
      <scheme val="minor"/>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vertAlign val="superscript"/>
      <sz val="10"/>
      <color rgb="FF000000"/>
      <name val="Arial"/>
      <family val="2"/>
      <scheme val="minor"/>
    </font>
    <font>
      <sz val="10"/>
      <color rgb="FF000000"/>
      <name val="Times New Roman"/>
      <family val="1"/>
    </font>
    <font>
      <sz val="10"/>
      <color rgb="FFFF0000"/>
      <name val="Arial"/>
      <family val="2"/>
      <scheme val="minor"/>
    </font>
    <font>
      <sz val="8"/>
      <name val="Times New Roman"/>
      <family val="1"/>
    </font>
    <font>
      <sz val="11"/>
      <name val="Calibri"/>
      <family val="2"/>
    </font>
    <font>
      <u/>
      <sz val="11"/>
      <color theme="10"/>
      <name val="Arial"/>
      <family val="2"/>
      <scheme val="minor"/>
    </font>
    <font>
      <sz val="8"/>
      <color rgb="FF1F497D"/>
      <name val="Verdana"/>
      <family val="2"/>
    </font>
    <font>
      <b/>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color rgb="FF000000"/>
      <name val="Arial"/>
      <family val="2"/>
    </font>
    <font>
      <sz val="8"/>
      <color rgb="FFDBE5F1"/>
      <name val="Verdana"/>
      <family val="2"/>
    </font>
  </fonts>
  <fills count="24">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1" tint="0.79998168889431442"/>
        <bgColor indexed="64"/>
      </patternFill>
    </fill>
    <fill>
      <patternFill patternType="solid">
        <fgColor theme="0"/>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theme="0" tint="-4.9989318521683403E-2"/>
        <bgColor indexed="64"/>
      </patternFill>
    </fill>
  </fills>
  <borders count="2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66">
    <xf numFmtId="0" fontId="0" fillId="0" borderId="0"/>
    <xf numFmtId="9" fontId="13" fillId="0" borderId="0" applyFont="0" applyFill="0" applyBorder="0" applyAlignment="0" applyProtection="0"/>
    <xf numFmtId="0" fontId="1" fillId="0" borderId="0"/>
    <xf numFmtId="9" fontId="1"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71" fontId="1" fillId="0" borderId="0" applyFont="0" applyFill="0" applyBorder="0" applyAlignment="0" applyProtection="0"/>
    <xf numFmtId="170" fontId="1" fillId="0" borderId="0" applyFont="0" applyFill="0" applyBorder="0" applyAlignment="0" applyProtection="0"/>
    <xf numFmtId="0" fontId="17" fillId="0" borderId="0" applyNumberFormat="0" applyFill="0" applyBorder="0" applyAlignment="0" applyProtection="0"/>
    <xf numFmtId="172" fontId="18" fillId="0" borderId="14" applyNumberFormat="0" applyProtection="0">
      <alignment horizontal="right" vertical="center"/>
    </xf>
    <xf numFmtId="171" fontId="1" fillId="0" borderId="0" applyFont="0" applyFill="0" applyBorder="0" applyAlignment="0" applyProtection="0"/>
    <xf numFmtId="170" fontId="1" fillId="0" borderId="0" applyFont="0" applyFill="0" applyBorder="0" applyAlignment="0" applyProtection="0"/>
    <xf numFmtId="0" fontId="19" fillId="6" borderId="15" applyNumberFormat="0" applyAlignment="0" applyProtection="0">
      <alignment horizontal="left" vertical="center" indent="1"/>
    </xf>
    <xf numFmtId="172" fontId="19" fillId="0" borderId="16" applyNumberFormat="0" applyProtection="0">
      <alignment horizontal="right" vertical="center"/>
    </xf>
    <xf numFmtId="0" fontId="20" fillId="7" borderId="16" applyNumberFormat="0" applyAlignment="0" applyProtection="0">
      <alignment horizontal="left" vertical="center" indent="1"/>
    </xf>
    <xf numFmtId="0" fontId="20" fillId="8" borderId="16" applyNumberFormat="0" applyAlignment="0" applyProtection="0">
      <alignment horizontal="left" vertical="center" indent="1"/>
    </xf>
    <xf numFmtId="172" fontId="18" fillId="9" borderId="14" applyNumberFormat="0" applyBorder="0" applyProtection="0">
      <alignment horizontal="right" vertical="center"/>
    </xf>
    <xf numFmtId="0" fontId="20" fillId="7" borderId="16" applyNumberFormat="0" applyAlignment="0" applyProtection="0">
      <alignment horizontal="left" vertical="center" indent="1"/>
    </xf>
    <xf numFmtId="172" fontId="19" fillId="8" borderId="16" applyNumberFormat="0" applyProtection="0">
      <alignment horizontal="right" vertical="center"/>
    </xf>
    <xf numFmtId="172" fontId="19" fillId="9" borderId="16" applyNumberFormat="0" applyBorder="0" applyProtection="0">
      <alignment horizontal="right" vertical="center"/>
    </xf>
    <xf numFmtId="172" fontId="21" fillId="10" borderId="17" applyNumberFormat="0" applyBorder="0" applyAlignment="0" applyProtection="0">
      <alignment horizontal="right" vertical="center" indent="1"/>
    </xf>
    <xf numFmtId="172" fontId="22" fillId="11" borderId="17" applyNumberFormat="0" applyBorder="0" applyAlignment="0" applyProtection="0">
      <alignment horizontal="right" vertical="center" indent="1"/>
    </xf>
    <xf numFmtId="172" fontId="22" fillId="12" borderId="17" applyNumberFormat="0" applyBorder="0" applyAlignment="0" applyProtection="0">
      <alignment horizontal="right" vertical="center" indent="1"/>
    </xf>
    <xf numFmtId="172" fontId="23" fillId="13" borderId="17" applyNumberFormat="0" applyBorder="0" applyAlignment="0" applyProtection="0">
      <alignment horizontal="right" vertical="center" indent="1"/>
    </xf>
    <xf numFmtId="172" fontId="23" fillId="14" borderId="17" applyNumberFormat="0" applyBorder="0" applyAlignment="0" applyProtection="0">
      <alignment horizontal="right" vertical="center" indent="1"/>
    </xf>
    <xf numFmtId="172" fontId="23" fillId="15" borderId="17" applyNumberFormat="0" applyBorder="0" applyAlignment="0" applyProtection="0">
      <alignment horizontal="right" vertical="center" indent="1"/>
    </xf>
    <xf numFmtId="172" fontId="24" fillId="16" borderId="17" applyNumberFormat="0" applyBorder="0" applyAlignment="0" applyProtection="0">
      <alignment horizontal="right" vertical="center" indent="1"/>
    </xf>
    <xf numFmtId="172" fontId="24" fillId="17" borderId="17" applyNumberFormat="0" applyBorder="0" applyAlignment="0" applyProtection="0">
      <alignment horizontal="right" vertical="center" indent="1"/>
    </xf>
    <xf numFmtId="172" fontId="24" fillId="18" borderId="17" applyNumberFormat="0" applyBorder="0" applyAlignment="0" applyProtection="0">
      <alignment horizontal="right" vertical="center" indent="1"/>
    </xf>
    <xf numFmtId="0" fontId="25" fillId="0" borderId="15" applyNumberFormat="0" applyFont="0" applyFill="0" applyAlignment="0" applyProtection="0"/>
    <xf numFmtId="172" fontId="18" fillId="19" borderId="15" applyNumberFormat="0" applyAlignment="0" applyProtection="0">
      <alignment horizontal="left" vertical="center" indent="1"/>
    </xf>
    <xf numFmtId="0" fontId="19" fillId="6" borderId="16" applyNumberFormat="0" applyAlignment="0" applyProtection="0">
      <alignment horizontal="left" vertical="center" indent="1"/>
    </xf>
    <xf numFmtId="0" fontId="20" fillId="20" borderId="15" applyNumberFormat="0" applyAlignment="0" applyProtection="0">
      <alignment horizontal="left" vertical="center" indent="1"/>
    </xf>
    <xf numFmtId="0" fontId="20" fillId="21" borderId="15" applyNumberFormat="0" applyAlignment="0" applyProtection="0">
      <alignment horizontal="left" vertical="center" indent="1"/>
    </xf>
    <xf numFmtId="0" fontId="20" fillId="22" borderId="15" applyNumberFormat="0" applyAlignment="0" applyProtection="0">
      <alignment horizontal="left" vertical="center" indent="1"/>
    </xf>
    <xf numFmtId="0" fontId="20" fillId="9" borderId="15" applyNumberFormat="0" applyAlignment="0" applyProtection="0">
      <alignment horizontal="left" vertical="center" indent="1"/>
    </xf>
    <xf numFmtId="0" fontId="20" fillId="8" borderId="16" applyNumberFormat="0" applyAlignment="0" applyProtection="0">
      <alignment horizontal="left" vertical="center" indent="1"/>
    </xf>
    <xf numFmtId="0" fontId="26" fillId="0" borderId="18" applyNumberFormat="0" applyFill="0" applyBorder="0" applyAlignment="0" applyProtection="0"/>
    <xf numFmtId="0" fontId="27" fillId="0" borderId="18" applyNumberFormat="0" applyBorder="0" applyAlignment="0" applyProtection="0"/>
    <xf numFmtId="0" fontId="26" fillId="7" borderId="16" applyNumberFormat="0" applyAlignment="0" applyProtection="0">
      <alignment horizontal="left" vertical="center" indent="1"/>
    </xf>
    <xf numFmtId="0" fontId="26" fillId="7" borderId="16" applyNumberFormat="0" applyAlignment="0" applyProtection="0">
      <alignment horizontal="left" vertical="center" indent="1"/>
    </xf>
    <xf numFmtId="0" fontId="26" fillId="8" borderId="16" applyNumberFormat="0" applyAlignment="0" applyProtection="0">
      <alignment horizontal="left" vertical="center" indent="1"/>
    </xf>
    <xf numFmtId="172" fontId="28" fillId="8" borderId="16" applyNumberFormat="0" applyProtection="0">
      <alignment horizontal="right" vertical="center"/>
    </xf>
    <xf numFmtId="172" fontId="29" fillId="9" borderId="14" applyNumberFormat="0" applyBorder="0" applyProtection="0">
      <alignment horizontal="right" vertical="center"/>
    </xf>
    <xf numFmtId="172" fontId="28" fillId="9" borderId="16" applyNumberFormat="0" applyBorder="0" applyProtection="0">
      <alignment horizontal="right" vertical="center"/>
    </xf>
    <xf numFmtId="172" fontId="18" fillId="19" borderId="15" applyNumberFormat="0" applyAlignment="0" applyProtection="0">
      <alignment horizontal="left" vertical="center" indent="1"/>
    </xf>
    <xf numFmtId="0" fontId="30" fillId="0" borderId="0"/>
    <xf numFmtId="43" fontId="1" fillId="0" borderId="0" applyFont="0" applyFill="0" applyBorder="0" applyAlignment="0" applyProtection="0"/>
    <xf numFmtId="0" fontId="20" fillId="7" borderId="16" applyNumberFormat="0" applyAlignment="0">
      <alignment horizontal="left" vertical="center" indent="1"/>
      <protection locked="0"/>
    </xf>
    <xf numFmtId="172" fontId="18" fillId="9" borderId="14" applyNumberFormat="0" applyBorder="0">
      <alignment horizontal="right" vertical="center"/>
      <protection locked="0"/>
    </xf>
    <xf numFmtId="0" fontId="20" fillId="7" borderId="16" applyNumberFormat="0" applyAlignment="0">
      <alignment horizontal="left" vertical="center" indent="1"/>
      <protection locked="0"/>
    </xf>
    <xf numFmtId="172" fontId="19" fillId="9" borderId="16" applyNumberFormat="0" applyBorder="0">
      <alignment horizontal="right" vertical="center"/>
      <protection locked="0"/>
    </xf>
    <xf numFmtId="172" fontId="31" fillId="19" borderId="0" applyNumberFormat="0" applyAlignment="0" applyProtection="0">
      <alignment horizontal="left" vertical="center" indent="1"/>
    </xf>
    <xf numFmtId="0" fontId="25" fillId="0" borderId="19" applyNumberFormat="0" applyFont="0" applyFill="0" applyAlignment="0" applyProtection="0"/>
    <xf numFmtId="172" fontId="18" fillId="0" borderId="14" applyNumberFormat="0" applyFill="0" applyBorder="0" applyAlignment="0" applyProtection="0">
      <alignment horizontal="right" vertical="center"/>
    </xf>
    <xf numFmtId="0" fontId="26" fillId="7" borderId="16" applyNumberFormat="0" applyAlignment="0">
      <alignment horizontal="left" vertical="center" indent="1"/>
      <protection locked="0"/>
    </xf>
    <xf numFmtId="0" fontId="26" fillId="7" borderId="16" applyNumberFormat="0" applyAlignment="0">
      <alignment horizontal="left" vertical="center" indent="1"/>
      <protection locked="0"/>
    </xf>
    <xf numFmtId="172" fontId="29" fillId="9" borderId="14" applyNumberFormat="0" applyBorder="0">
      <alignment horizontal="right" vertical="center"/>
      <protection locked="0"/>
    </xf>
    <xf numFmtId="172" fontId="28" fillId="9" borderId="16" applyNumberFormat="0" applyBorder="0">
      <alignment horizontal="right" vertical="center"/>
      <protection locked="0"/>
    </xf>
    <xf numFmtId="172" fontId="18" fillId="0" borderId="14" applyNumberFormat="0" applyFill="0" applyBorder="0" applyAlignment="0" applyProtection="0">
      <alignment horizontal="righ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cellStyleXfs>
  <cellXfs count="289">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applyAlignment="1">
      <alignment horizontal="left"/>
    </xf>
    <xf numFmtId="0" fontId="2" fillId="0" borderId="2" xfId="0" applyFont="1" applyBorder="1" applyAlignment="1">
      <alignment horizontal="right" wrapText="1"/>
    </xf>
    <xf numFmtId="0" fontId="3" fillId="0" borderId="0" xfId="0" applyFont="1"/>
    <xf numFmtId="0" fontId="3" fillId="2" borderId="0" xfId="0" applyFont="1" applyFill="1" applyAlignment="1">
      <alignment horizontal="left"/>
    </xf>
    <xf numFmtId="0" fontId="2" fillId="2" borderId="2" xfId="0" applyFont="1" applyFill="1" applyBorder="1" applyAlignment="1">
      <alignment horizontal="right" wrapText="1"/>
    </xf>
    <xf numFmtId="164" fontId="7" fillId="2" borderId="2" xfId="0" applyNumberFormat="1" applyFont="1" applyFill="1" applyBorder="1"/>
    <xf numFmtId="0" fontId="3" fillId="2" borderId="0" xfId="0" applyFont="1" applyFill="1" applyAlignment="1">
      <alignment wrapText="1"/>
    </xf>
    <xf numFmtId="0" fontId="2" fillId="0" borderId="0" xfId="0" applyFont="1"/>
    <xf numFmtId="0" fontId="3" fillId="0" borderId="0" xfId="0" quotePrefix="1" applyFont="1" applyAlignment="1">
      <alignment vertical="center"/>
    </xf>
    <xf numFmtId="0" fontId="3" fillId="0" borderId="0" xfId="0" applyFont="1" applyAlignment="1">
      <alignment vertical="center"/>
    </xf>
    <xf numFmtId="0" fontId="2" fillId="0" borderId="1" xfId="0" applyFont="1" applyBorder="1" applyAlignment="1">
      <alignment wrapText="1"/>
    </xf>
    <xf numFmtId="0" fontId="2" fillId="0" borderId="1" xfId="0" applyFont="1" applyBorder="1" applyAlignment="1">
      <alignment horizontal="right" wrapText="1"/>
    </xf>
    <xf numFmtId="0" fontId="2" fillId="2" borderId="1" xfId="0" applyFont="1" applyFill="1" applyBorder="1" applyAlignment="1">
      <alignment horizontal="right" wrapText="1"/>
    </xf>
    <xf numFmtId="0" fontId="5" fillId="0" borderId="0" xfId="0" applyFont="1" applyAlignment="1">
      <alignment horizontal="right" wrapText="1"/>
    </xf>
    <xf numFmtId="0" fontId="2" fillId="0" borderId="0" xfId="0" applyFont="1" applyAlignment="1">
      <alignment horizontal="left"/>
    </xf>
    <xf numFmtId="0" fontId="9" fillId="0" borderId="0" xfId="0" applyFont="1" applyAlignment="1">
      <alignment wrapText="1"/>
    </xf>
    <xf numFmtId="0" fontId="3" fillId="0" borderId="3" xfId="0" applyFont="1" applyBorder="1" applyAlignment="1">
      <alignment horizontal="left"/>
    </xf>
    <xf numFmtId="0" fontId="3" fillId="2" borderId="3" xfId="0" applyFont="1" applyFill="1" applyBorder="1" applyAlignment="1">
      <alignment horizontal="left"/>
    </xf>
    <xf numFmtId="0" fontId="10" fillId="0" borderId="0" xfId="0" applyFont="1" applyAlignment="1">
      <alignment wrapText="1"/>
    </xf>
    <xf numFmtId="0" fontId="9" fillId="0" borderId="0" xfId="0" applyFont="1" applyAlignment="1">
      <alignment horizontal="right" wrapText="1"/>
    </xf>
    <xf numFmtId="0" fontId="2" fillId="0" borderId="7" xfId="0" applyFont="1" applyBorder="1" applyAlignment="1">
      <alignment horizontal="center" wrapText="1"/>
    </xf>
    <xf numFmtId="0" fontId="3" fillId="0" borderId="9" xfId="0" applyFont="1" applyBorder="1" applyAlignment="1">
      <alignment horizontal="left"/>
    </xf>
    <xf numFmtId="0" fontId="3" fillId="0" borderId="8" xfId="0" applyFont="1" applyBorder="1" applyAlignment="1">
      <alignment horizontal="left"/>
    </xf>
    <xf numFmtId="0" fontId="2" fillId="0" borderId="10" xfId="0" applyFont="1" applyBorder="1" applyAlignment="1">
      <alignment wrapText="1"/>
    </xf>
    <xf numFmtId="0" fontId="3" fillId="0" borderId="10" xfId="0" applyFont="1" applyBorder="1" applyAlignment="1">
      <alignment horizontal="left"/>
    </xf>
    <xf numFmtId="0" fontId="3" fillId="0" borderId="10" xfId="0" applyFont="1" applyBorder="1" applyAlignment="1">
      <alignment wrapText="1"/>
    </xf>
    <xf numFmtId="0" fontId="2" fillId="0" borderId="10" xfId="0" applyFont="1" applyBorder="1" applyAlignment="1">
      <alignment vertical="center" wrapText="1"/>
    </xf>
    <xf numFmtId="0" fontId="2" fillId="0" borderId="10" xfId="0" applyFont="1" applyBorder="1" applyAlignment="1">
      <alignment horizontal="left" vertical="center"/>
    </xf>
    <xf numFmtId="165" fontId="12" fillId="0" borderId="0" xfId="0" applyNumberFormat="1" applyFont="1"/>
    <xf numFmtId="164" fontId="4" fillId="0" borderId="0" xfId="0" applyNumberFormat="1" applyFont="1"/>
    <xf numFmtId="164" fontId="3" fillId="0" borderId="5" xfId="0" applyNumberFormat="1" applyFont="1" applyBorder="1"/>
    <xf numFmtId="0" fontId="2" fillId="0" borderId="0" xfId="0" applyFont="1" applyAlignment="1">
      <alignment horizontal="center"/>
    </xf>
    <xf numFmtId="165" fontId="3" fillId="0" borderId="0" xfId="0" applyNumberFormat="1" applyFont="1" applyAlignment="1">
      <alignment horizontal="left"/>
    </xf>
    <xf numFmtId="164" fontId="6" fillId="0" borderId="0" xfId="0" applyNumberFormat="1" applyFont="1"/>
    <xf numFmtId="164" fontId="3" fillId="0" borderId="0" xfId="0" applyNumberFormat="1" applyFont="1" applyAlignment="1">
      <alignment horizontal="left"/>
    </xf>
    <xf numFmtId="165" fontId="6" fillId="0" borderId="0" xfId="0" applyNumberFormat="1" applyFont="1"/>
    <xf numFmtId="165" fontId="4" fillId="0" borderId="0" xfId="0" applyNumberFormat="1" applyFont="1"/>
    <xf numFmtId="165" fontId="3" fillId="0" borderId="5" xfId="0" applyNumberFormat="1" applyFont="1" applyBorder="1"/>
    <xf numFmtId="165" fontId="4" fillId="0" borderId="1" xfId="0" applyNumberFormat="1" applyFont="1" applyBorder="1"/>
    <xf numFmtId="165" fontId="3" fillId="0" borderId="2" xfId="0" applyNumberFormat="1" applyFont="1" applyBorder="1"/>
    <xf numFmtId="165" fontId="4" fillId="0" borderId="2" xfId="0" applyNumberFormat="1" applyFont="1" applyBorder="1"/>
    <xf numFmtId="164" fontId="3" fillId="0" borderId="4" xfId="0" applyNumberFormat="1" applyFont="1" applyBorder="1"/>
    <xf numFmtId="164" fontId="4" fillId="0" borderId="6" xfId="0" applyNumberFormat="1" applyFont="1" applyBorder="1"/>
    <xf numFmtId="167" fontId="3" fillId="0" borderId="4" xfId="0" applyNumberFormat="1" applyFont="1" applyBorder="1"/>
    <xf numFmtId="164" fontId="6" fillId="2" borderId="0" xfId="0" applyNumberFormat="1" applyFont="1" applyFill="1"/>
    <xf numFmtId="164" fontId="3" fillId="2" borderId="0" xfId="0" applyNumberFormat="1" applyFont="1" applyFill="1" applyAlignment="1">
      <alignment horizontal="left"/>
    </xf>
    <xf numFmtId="165" fontId="6" fillId="2" borderId="0" xfId="0" applyNumberFormat="1" applyFont="1" applyFill="1"/>
    <xf numFmtId="165" fontId="4" fillId="2" borderId="0" xfId="0" applyNumberFormat="1" applyFont="1" applyFill="1"/>
    <xf numFmtId="165" fontId="3" fillId="2" borderId="0" xfId="0" applyNumberFormat="1" applyFont="1" applyFill="1" applyAlignment="1">
      <alignment horizontal="left"/>
    </xf>
    <xf numFmtId="165" fontId="3" fillId="2" borderId="5" xfId="0" applyNumberFormat="1" applyFont="1" applyFill="1" applyBorder="1"/>
    <xf numFmtId="165" fontId="4" fillId="2" borderId="1" xfId="0" applyNumberFormat="1" applyFont="1" applyFill="1" applyBorder="1"/>
    <xf numFmtId="165" fontId="3" fillId="2" borderId="2" xfId="0" applyNumberFormat="1" applyFont="1" applyFill="1" applyBorder="1"/>
    <xf numFmtId="165" fontId="4" fillId="2" borderId="2" xfId="0" applyNumberFormat="1" applyFont="1" applyFill="1" applyBorder="1"/>
    <xf numFmtId="164" fontId="3" fillId="2" borderId="4" xfId="0" applyNumberFormat="1" applyFont="1" applyFill="1" applyBorder="1"/>
    <xf numFmtId="164" fontId="4" fillId="2" borderId="6" xfId="0" applyNumberFormat="1" applyFont="1" applyFill="1" applyBorder="1"/>
    <xf numFmtId="167" fontId="3" fillId="2" borderId="4" xfId="0" applyNumberFormat="1" applyFont="1" applyFill="1" applyBorder="1"/>
    <xf numFmtId="164" fontId="7" fillId="0" borderId="2" xfId="0" applyNumberFormat="1" applyFont="1" applyBorder="1"/>
    <xf numFmtId="165" fontId="4" fillId="0" borderId="3" xfId="0" applyNumberFormat="1" applyFont="1" applyBorder="1"/>
    <xf numFmtId="165" fontId="6" fillId="0" borderId="2" xfId="0" applyNumberFormat="1" applyFont="1" applyBorder="1"/>
    <xf numFmtId="164" fontId="6" fillId="0" borderId="2" xfId="0" applyNumberFormat="1" applyFont="1" applyBorder="1"/>
    <xf numFmtId="165" fontId="4" fillId="2" borderId="3" xfId="0" applyNumberFormat="1" applyFont="1" applyFill="1" applyBorder="1"/>
    <xf numFmtId="165" fontId="6" fillId="2" borderId="2" xfId="0" applyNumberFormat="1" applyFont="1" applyFill="1" applyBorder="1"/>
    <xf numFmtId="165" fontId="6" fillId="2" borderId="1" xfId="0" applyNumberFormat="1" applyFont="1" applyFill="1" applyBorder="1"/>
    <xf numFmtId="165" fontId="6" fillId="0" borderId="1" xfId="0" applyNumberFormat="1" applyFont="1" applyBorder="1"/>
    <xf numFmtId="164" fontId="7" fillId="0" borderId="0" xfId="0" applyNumberFormat="1" applyFont="1"/>
    <xf numFmtId="165" fontId="7" fillId="0" borderId="2" xfId="0" applyNumberFormat="1" applyFont="1" applyBorder="1"/>
    <xf numFmtId="165" fontId="2" fillId="0" borderId="2" xfId="0" applyNumberFormat="1" applyFont="1" applyBorder="1"/>
    <xf numFmtId="165" fontId="7" fillId="0" borderId="3" xfId="0" applyNumberFormat="1" applyFont="1" applyBorder="1"/>
    <xf numFmtId="165" fontId="6" fillId="0" borderId="3" xfId="0" applyNumberFormat="1" applyFont="1" applyBorder="1"/>
    <xf numFmtId="164" fontId="7" fillId="2" borderId="0" xfId="0" applyNumberFormat="1" applyFont="1" applyFill="1"/>
    <xf numFmtId="165" fontId="7" fillId="2" borderId="2" xfId="0" applyNumberFormat="1" applyFont="1" applyFill="1" applyBorder="1"/>
    <xf numFmtId="165" fontId="7" fillId="2" borderId="3" xfId="0" applyNumberFormat="1" applyFont="1" applyFill="1" applyBorder="1"/>
    <xf numFmtId="165" fontId="2" fillId="2" borderId="2" xfId="0" applyNumberFormat="1" applyFont="1" applyFill="1" applyBorder="1"/>
    <xf numFmtId="165" fontId="6" fillId="2" borderId="3" xfId="0" applyNumberFormat="1" applyFont="1" applyFill="1" applyBorder="1"/>
    <xf numFmtId="165" fontId="2" fillId="0" borderId="5" xfId="0" applyNumberFormat="1" applyFont="1" applyBorder="1"/>
    <xf numFmtId="165" fontId="3" fillId="0" borderId="0" xfId="0" applyNumberFormat="1" applyFont="1"/>
    <xf numFmtId="164" fontId="2" fillId="0" borderId="5" xfId="0" applyNumberFormat="1" applyFont="1" applyBorder="1"/>
    <xf numFmtId="164" fontId="4" fillId="2" borderId="0" xfId="0" applyNumberFormat="1" applyFont="1" applyFill="1"/>
    <xf numFmtId="165" fontId="2" fillId="2" borderId="5" xfId="0" applyNumberFormat="1" applyFont="1" applyFill="1" applyBorder="1"/>
    <xf numFmtId="165" fontId="3" fillId="2" borderId="0" xfId="0" applyNumberFormat="1" applyFont="1" applyFill="1"/>
    <xf numFmtId="164" fontId="2" fillId="2" borderId="5" xfId="0" applyNumberFormat="1" applyFont="1" applyFill="1" applyBorder="1"/>
    <xf numFmtId="165" fontId="11" fillId="0" borderId="11" xfId="0" applyNumberFormat="1" applyFont="1" applyBorder="1" applyAlignment="1">
      <alignment horizontal="center"/>
    </xf>
    <xf numFmtId="0" fontId="3" fillId="0" borderId="11" xfId="0" applyFont="1" applyBorder="1" applyAlignment="1">
      <alignment horizontal="left"/>
    </xf>
    <xf numFmtId="165" fontId="2" fillId="0" borderId="11" xfId="0" applyNumberFormat="1" applyFont="1" applyBorder="1" applyAlignment="1">
      <alignment horizontal="center"/>
    </xf>
    <xf numFmtId="165" fontId="3" fillId="0" borderId="11" xfId="0" applyNumberFormat="1" applyFont="1" applyBorder="1" applyAlignment="1">
      <alignment horizontal="center"/>
    </xf>
    <xf numFmtId="165" fontId="3" fillId="0" borderId="11" xfId="0" applyNumberFormat="1" applyFont="1" applyBorder="1" applyAlignment="1">
      <alignment horizontal="left"/>
    </xf>
    <xf numFmtId="165" fontId="2" fillId="0" borderId="11" xfId="0" applyNumberFormat="1" applyFont="1" applyBorder="1" applyAlignment="1">
      <alignment horizontal="center" vertical="center"/>
    </xf>
    <xf numFmtId="166" fontId="2" fillId="0" borderId="11"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4" fillId="0" borderId="12" xfId="0" applyFont="1" applyBorder="1" applyAlignment="1">
      <alignment horizontal="left"/>
    </xf>
    <xf numFmtId="0" fontId="3" fillId="0" borderId="0" xfId="0" quotePrefix="1" applyFont="1"/>
    <xf numFmtId="165" fontId="3" fillId="0" borderId="0" xfId="0" applyNumberFormat="1" applyFont="1" applyAlignment="1">
      <alignment wrapText="1"/>
    </xf>
    <xf numFmtId="164" fontId="7" fillId="0" borderId="5" xfId="0" applyNumberFormat="1" applyFont="1" applyBorder="1"/>
    <xf numFmtId="164" fontId="7" fillId="2" borderId="5" xfId="0" applyNumberFormat="1" applyFont="1" applyFill="1" applyBorder="1"/>
    <xf numFmtId="49" fontId="3" fillId="0" borderId="0" xfId="0" applyNumberFormat="1" applyFont="1"/>
    <xf numFmtId="164" fontId="6" fillId="2" borderId="2" xfId="0" applyNumberFormat="1" applyFont="1" applyFill="1" applyBorder="1"/>
    <xf numFmtId="164" fontId="4" fillId="0" borderId="2" xfId="0" applyNumberFormat="1" applyFont="1" applyBorder="1"/>
    <xf numFmtId="0" fontId="3" fillId="3" borderId="0" xfId="0" applyFont="1" applyFill="1" applyAlignment="1">
      <alignment wrapText="1"/>
    </xf>
    <xf numFmtId="0" fontId="2" fillId="3" borderId="2" xfId="0" applyFont="1" applyFill="1" applyBorder="1" applyAlignment="1">
      <alignment horizontal="right" wrapText="1"/>
    </xf>
    <xf numFmtId="0" fontId="3" fillId="3" borderId="0" xfId="0" applyFont="1" applyFill="1" applyAlignment="1">
      <alignment horizontal="left"/>
    </xf>
    <xf numFmtId="164" fontId="6" fillId="3" borderId="0" xfId="0" applyNumberFormat="1" applyFont="1" applyFill="1"/>
    <xf numFmtId="164" fontId="3" fillId="3" borderId="0" xfId="0" applyNumberFormat="1" applyFont="1" applyFill="1" applyAlignment="1">
      <alignment horizontal="left"/>
    </xf>
    <xf numFmtId="165" fontId="6" fillId="3" borderId="0" xfId="0" applyNumberFormat="1" applyFont="1" applyFill="1"/>
    <xf numFmtId="165" fontId="4" fillId="3" borderId="0" xfId="0" applyNumberFormat="1" applyFont="1" applyFill="1"/>
    <xf numFmtId="165" fontId="3" fillId="3" borderId="0" xfId="0" applyNumberFormat="1" applyFont="1" applyFill="1" applyAlignment="1">
      <alignment horizontal="left"/>
    </xf>
    <xf numFmtId="165" fontId="3" fillId="3" borderId="5" xfId="0" applyNumberFormat="1" applyFont="1" applyFill="1" applyBorder="1"/>
    <xf numFmtId="165" fontId="4" fillId="3" borderId="1" xfId="0" applyNumberFormat="1" applyFont="1" applyFill="1" applyBorder="1"/>
    <xf numFmtId="165" fontId="3" fillId="3" borderId="2" xfId="0" applyNumberFormat="1" applyFont="1" applyFill="1" applyBorder="1"/>
    <xf numFmtId="165" fontId="4" fillId="3" borderId="2" xfId="0" applyNumberFormat="1" applyFont="1" applyFill="1" applyBorder="1"/>
    <xf numFmtId="164" fontId="3" fillId="3" borderId="4" xfId="0" applyNumberFormat="1" applyFont="1" applyFill="1" applyBorder="1"/>
    <xf numFmtId="164" fontId="4" fillId="3" borderId="6" xfId="0" applyNumberFormat="1" applyFont="1" applyFill="1" applyBorder="1"/>
    <xf numFmtId="167" fontId="3" fillId="3" borderId="4" xfId="0" applyNumberFormat="1" applyFont="1" applyFill="1" applyBorder="1"/>
    <xf numFmtId="0" fontId="2" fillId="3" borderId="1" xfId="0" applyFont="1" applyFill="1" applyBorder="1" applyAlignment="1">
      <alignment horizontal="right" wrapText="1"/>
    </xf>
    <xf numFmtId="164" fontId="7" fillId="3" borderId="2" xfId="0" applyNumberFormat="1" applyFont="1" applyFill="1" applyBorder="1"/>
    <xf numFmtId="165" fontId="4" fillId="3" borderId="3" xfId="0" applyNumberFormat="1" applyFont="1" applyFill="1" applyBorder="1"/>
    <xf numFmtId="165" fontId="6" fillId="3" borderId="3" xfId="0" applyNumberFormat="1" applyFont="1" applyFill="1" applyBorder="1"/>
    <xf numFmtId="165" fontId="6" fillId="3" borderId="1" xfId="0" applyNumberFormat="1" applyFont="1" applyFill="1" applyBorder="1"/>
    <xf numFmtId="164" fontId="6" fillId="3" borderId="2" xfId="0" applyNumberFormat="1" applyFont="1" applyFill="1" applyBorder="1"/>
    <xf numFmtId="164" fontId="4" fillId="3" borderId="2" xfId="0" applyNumberFormat="1" applyFont="1" applyFill="1" applyBorder="1"/>
    <xf numFmtId="165" fontId="11" fillId="0" borderId="12" xfId="0" applyNumberFormat="1" applyFont="1" applyBorder="1" applyAlignment="1">
      <alignment horizontal="center" vertical="center"/>
    </xf>
    <xf numFmtId="0" fontId="2" fillId="0" borderId="1" xfId="0" applyFont="1" applyBorder="1" applyAlignment="1">
      <alignment horizontal="right" vertical="center" wrapText="1"/>
    </xf>
    <xf numFmtId="0" fontId="3" fillId="0" borderId="3" xfId="0" applyFont="1" applyBorder="1"/>
    <xf numFmtId="0" fontId="3" fillId="0" borderId="0" xfId="0" applyFont="1" applyAlignment="1">
      <alignment horizontal="left" wrapText="1"/>
    </xf>
    <xf numFmtId="0" fontId="3" fillId="0" borderId="2" xfId="0" applyFont="1" applyBorder="1" applyAlignment="1">
      <alignment wrapText="1"/>
    </xf>
    <xf numFmtId="0" fontId="3" fillId="0" borderId="4" xfId="0" applyFont="1" applyBorder="1" applyAlignment="1">
      <alignment wrapText="1"/>
    </xf>
    <xf numFmtId="0" fontId="3" fillId="0" borderId="2" xfId="0" applyFont="1" applyBorder="1" applyAlignment="1">
      <alignment horizontal="left" wrapText="1"/>
    </xf>
    <xf numFmtId="0" fontId="3" fillId="0" borderId="1" xfId="0" applyFont="1" applyBorder="1" applyAlignment="1">
      <alignment wrapText="1"/>
    </xf>
    <xf numFmtId="0" fontId="3" fillId="0" borderId="3" xfId="0" applyFont="1" applyBorder="1" applyAlignment="1">
      <alignment wrapText="1"/>
    </xf>
    <xf numFmtId="0" fontId="3" fillId="0" borderId="5" xfId="0" applyFont="1" applyBorder="1" applyAlignment="1">
      <alignment wrapText="1"/>
    </xf>
    <xf numFmtId="0" fontId="3" fillId="0" borderId="0" xfId="0" applyFont="1" applyAlignment="1">
      <alignment horizontal="left" wrapText="1" indent="1"/>
    </xf>
    <xf numFmtId="164" fontId="4" fillId="4" borderId="0" xfId="0" applyNumberFormat="1" applyFont="1" applyFill="1"/>
    <xf numFmtId="165" fontId="4" fillId="4" borderId="0" xfId="0" applyNumberFormat="1" applyFont="1" applyFill="1"/>
    <xf numFmtId="165" fontId="4" fillId="4" borderId="1" xfId="0" applyNumberFormat="1" applyFont="1" applyFill="1" applyBorder="1"/>
    <xf numFmtId="165" fontId="2" fillId="4" borderId="5" xfId="0" applyNumberFormat="1" applyFont="1" applyFill="1" applyBorder="1"/>
    <xf numFmtId="0" fontId="3" fillId="4" borderId="0" xfId="0" applyFont="1" applyFill="1" applyAlignment="1">
      <alignment wrapText="1"/>
    </xf>
    <xf numFmtId="165" fontId="3" fillId="4" borderId="0" xfId="0" applyNumberFormat="1" applyFont="1" applyFill="1"/>
    <xf numFmtId="164" fontId="2" fillId="4" borderId="5" xfId="0" applyNumberFormat="1" applyFont="1" applyFill="1" applyBorder="1"/>
    <xf numFmtId="164" fontId="7" fillId="3" borderId="0" xfId="0" applyNumberFormat="1" applyFont="1" applyFill="1"/>
    <xf numFmtId="165" fontId="7" fillId="3" borderId="2" xfId="0" applyNumberFormat="1" applyFont="1" applyFill="1" applyBorder="1"/>
    <xf numFmtId="165" fontId="2" fillId="3" borderId="2" xfId="0" applyNumberFormat="1" applyFont="1" applyFill="1" applyBorder="1"/>
    <xf numFmtId="165" fontId="7" fillId="3" borderId="3" xfId="0" applyNumberFormat="1" applyFont="1" applyFill="1" applyBorder="1"/>
    <xf numFmtId="165" fontId="3" fillId="3" borderId="0" xfId="0" applyNumberFormat="1" applyFont="1" applyFill="1"/>
    <xf numFmtId="165" fontId="2" fillId="3" borderId="5" xfId="0" applyNumberFormat="1" applyFont="1" applyFill="1" applyBorder="1"/>
    <xf numFmtId="164" fontId="7" fillId="3" borderId="5" xfId="0" applyNumberFormat="1" applyFont="1" applyFill="1" applyBorder="1"/>
    <xf numFmtId="164" fontId="6" fillId="4" borderId="0" xfId="0" applyNumberFormat="1" applyFont="1" applyFill="1"/>
    <xf numFmtId="165" fontId="6" fillId="4" borderId="0" xfId="0" applyNumberFormat="1" applyFont="1" applyFill="1"/>
    <xf numFmtId="165" fontId="2" fillId="0" borderId="11" xfId="0" quotePrefix="1" applyNumberFormat="1" applyFont="1" applyBorder="1" applyAlignment="1">
      <alignment horizontal="center"/>
    </xf>
    <xf numFmtId="0" fontId="3" fillId="0" borderId="0" xfId="0" applyFont="1" applyAlignment="1">
      <alignment horizontal="left" vertical="center" wrapText="1"/>
    </xf>
    <xf numFmtId="0" fontId="3" fillId="0" borderId="0" xfId="0" applyFont="1" applyAlignment="1">
      <alignment vertical="center" wrapText="1"/>
    </xf>
    <xf numFmtId="3" fontId="3" fillId="0" borderId="0" xfId="0" applyNumberFormat="1" applyFont="1" applyAlignment="1">
      <alignment wrapText="1"/>
    </xf>
    <xf numFmtId="165" fontId="4" fillId="0" borderId="0" xfId="0" applyNumberFormat="1" applyFont="1" applyAlignment="1">
      <alignment horizontal="right"/>
    </xf>
    <xf numFmtId="0" fontId="2" fillId="0" borderId="0" xfId="0" applyFont="1" applyAlignment="1">
      <alignment vertical="center" wrapText="1"/>
    </xf>
    <xf numFmtId="165" fontId="4" fillId="0" borderId="11" xfId="0" applyNumberFormat="1" applyFont="1" applyBorder="1" applyAlignment="1">
      <alignment horizontal="center"/>
    </xf>
    <xf numFmtId="0" fontId="3" fillId="5" borderId="3" xfId="0" applyFont="1" applyFill="1" applyBorder="1" applyAlignment="1">
      <alignment vertical="center" wrapText="1"/>
    </xf>
    <xf numFmtId="0" fontId="3" fillId="5" borderId="0" xfId="0" applyFont="1" applyFill="1" applyAlignment="1">
      <alignment vertical="center" wrapText="1"/>
    </xf>
    <xf numFmtId="165" fontId="4" fillId="5" borderId="0" xfId="0" applyNumberFormat="1" applyFont="1" applyFill="1"/>
    <xf numFmtId="9" fontId="3" fillId="3" borderId="0" xfId="1" applyFont="1" applyFill="1" applyAlignment="1">
      <alignment horizontal="left"/>
    </xf>
    <xf numFmtId="9" fontId="6" fillId="4" borderId="0" xfId="1" applyFont="1" applyFill="1"/>
    <xf numFmtId="0" fontId="3" fillId="5" borderId="0" xfId="0" applyFont="1" applyFill="1" applyAlignment="1">
      <alignment wrapText="1"/>
    </xf>
    <xf numFmtId="0" fontId="2" fillId="5" borderId="0" xfId="0" applyFont="1" applyFill="1" applyAlignment="1">
      <alignment horizontal="right" wrapText="1"/>
    </xf>
    <xf numFmtId="165" fontId="3" fillId="5" borderId="0" xfId="0" applyNumberFormat="1" applyFont="1" applyFill="1" applyAlignment="1">
      <alignment wrapText="1"/>
    </xf>
    <xf numFmtId="165" fontId="2" fillId="0" borderId="0" xfId="0" applyNumberFormat="1" applyFont="1"/>
    <xf numFmtId="165" fontId="2" fillId="2" borderId="0" xfId="0" applyNumberFormat="1" applyFont="1" applyFill="1"/>
    <xf numFmtId="165" fontId="2" fillId="3" borderId="0" xfId="0" applyNumberFormat="1" applyFont="1" applyFill="1"/>
    <xf numFmtId="0" fontId="5" fillId="5" borderId="0" xfId="0" applyFont="1" applyFill="1" applyAlignment="1">
      <alignment horizontal="right" wrapText="1"/>
    </xf>
    <xf numFmtId="165" fontId="3" fillId="0" borderId="0" xfId="0" applyNumberFormat="1" applyFont="1" applyAlignment="1">
      <alignment horizontal="center"/>
    </xf>
    <xf numFmtId="0" fontId="0" fillId="5" borderId="0" xfId="0" applyFill="1" applyAlignment="1">
      <alignment vertical="center" wrapText="1"/>
    </xf>
    <xf numFmtId="0" fontId="2" fillId="5" borderId="8" xfId="0" applyFont="1" applyFill="1" applyBorder="1" applyAlignment="1">
      <alignment horizontal="center" vertical="center" wrapText="1"/>
    </xf>
    <xf numFmtId="0" fontId="3" fillId="5" borderId="20" xfId="0" applyFont="1" applyFill="1" applyBorder="1" applyAlignment="1">
      <alignment vertical="center" wrapText="1"/>
    </xf>
    <xf numFmtId="173" fontId="3" fillId="5" borderId="9" xfId="0" applyNumberFormat="1" applyFont="1" applyFill="1" applyBorder="1" applyAlignment="1">
      <alignment vertical="center" wrapText="1"/>
    </xf>
    <xf numFmtId="0" fontId="3" fillId="5" borderId="21" xfId="0" applyFont="1" applyFill="1" applyBorder="1" applyAlignment="1">
      <alignment vertical="center" wrapText="1"/>
    </xf>
    <xf numFmtId="173" fontId="3" fillId="5" borderId="10" xfId="0" applyNumberFormat="1" applyFont="1" applyFill="1" applyBorder="1" applyAlignment="1">
      <alignment vertical="center" wrapText="1"/>
    </xf>
    <xf numFmtId="0" fontId="3" fillId="23" borderId="22" xfId="0" applyFont="1" applyFill="1" applyBorder="1" applyAlignment="1">
      <alignment vertical="center" wrapText="1"/>
    </xf>
    <xf numFmtId="0" fontId="3" fillId="23" borderId="1" xfId="0" applyFont="1" applyFill="1" applyBorder="1" applyAlignment="1">
      <alignment vertical="center" wrapText="1"/>
    </xf>
    <xf numFmtId="173" fontId="3" fillId="23" borderId="13" xfId="0" applyNumberFormat="1" applyFont="1" applyFill="1" applyBorder="1" applyAlignment="1">
      <alignment vertical="center" wrapText="1"/>
    </xf>
    <xf numFmtId="0" fontId="2" fillId="5" borderId="9" xfId="0" applyFont="1" applyFill="1" applyBorder="1" applyAlignment="1">
      <alignment horizontal="center" vertical="center" wrapText="1"/>
    </xf>
    <xf numFmtId="0" fontId="3" fillId="5" borderId="8" xfId="0" applyFont="1" applyFill="1" applyBorder="1" applyAlignment="1">
      <alignment vertical="center" wrapText="1"/>
    </xf>
    <xf numFmtId="0" fontId="3" fillId="5" borderId="11" xfId="0" applyFont="1" applyFill="1" applyBorder="1" applyAlignment="1">
      <alignment vertical="center" wrapText="1"/>
    </xf>
    <xf numFmtId="0" fontId="3" fillId="23" borderId="12" xfId="0" applyFont="1" applyFill="1" applyBorder="1" applyAlignment="1">
      <alignment vertical="center" wrapText="1"/>
    </xf>
    <xf numFmtId="0" fontId="2" fillId="5" borderId="3" xfId="0" applyFont="1" applyFill="1" applyBorder="1" applyAlignment="1">
      <alignment horizontal="center" vertical="center" wrapText="1"/>
    </xf>
    <xf numFmtId="6" fontId="3" fillId="0" borderId="0" xfId="0" applyNumberFormat="1" applyFont="1" applyAlignment="1">
      <alignment wrapText="1"/>
    </xf>
    <xf numFmtId="164" fontId="4" fillId="4" borderId="2" xfId="0" applyNumberFormat="1" applyFont="1" applyFill="1" applyBorder="1"/>
    <xf numFmtId="165" fontId="4" fillId="4" borderId="3" xfId="0" applyNumberFormat="1" applyFont="1" applyFill="1" applyBorder="1"/>
    <xf numFmtId="165" fontId="3" fillId="4" borderId="2" xfId="0" applyNumberFormat="1" applyFont="1" applyFill="1" applyBorder="1"/>
    <xf numFmtId="6" fontId="3" fillId="5" borderId="0" xfId="0" applyNumberFormat="1" applyFont="1" applyFill="1" applyAlignment="1">
      <alignment wrapText="1"/>
    </xf>
    <xf numFmtId="0" fontId="2" fillId="0" borderId="2" xfId="0" applyFont="1" applyBorder="1" applyAlignment="1">
      <alignment horizontal="right" vertical="center" wrapText="1"/>
    </xf>
    <xf numFmtId="0" fontId="2" fillId="2" borderId="2" xfId="0" applyFont="1" applyFill="1" applyBorder="1" applyAlignment="1">
      <alignment horizontal="right" vertical="center" wrapText="1"/>
    </xf>
    <xf numFmtId="0" fontId="2" fillId="3" borderId="2" xfId="0" applyFont="1" applyFill="1" applyBorder="1" applyAlignment="1">
      <alignment horizontal="right" vertical="center" wrapText="1"/>
    </xf>
    <xf numFmtId="164" fontId="7" fillId="0" borderId="2" xfId="0" applyNumberFormat="1" applyFont="1" applyBorder="1" applyAlignment="1">
      <alignment vertical="center"/>
    </xf>
    <xf numFmtId="164" fontId="7" fillId="2" borderId="2" xfId="0" applyNumberFormat="1" applyFont="1" applyFill="1" applyBorder="1" applyAlignment="1">
      <alignment vertical="center"/>
    </xf>
    <xf numFmtId="164" fontId="7" fillId="3" borderId="2" xfId="0" applyNumberFormat="1" applyFont="1" applyFill="1" applyBorder="1" applyAlignment="1">
      <alignment vertical="center"/>
    </xf>
    <xf numFmtId="165" fontId="6" fillId="0" borderId="0" xfId="0" applyNumberFormat="1" applyFont="1" applyAlignment="1">
      <alignment vertical="center"/>
    </xf>
    <xf numFmtId="165" fontId="6" fillId="2" borderId="0" xfId="0" applyNumberFormat="1" applyFont="1" applyFill="1" applyAlignment="1">
      <alignment vertical="center"/>
    </xf>
    <xf numFmtId="165" fontId="6" fillId="3" borderId="0" xfId="0" applyNumberFormat="1" applyFont="1" applyFill="1" applyAlignment="1">
      <alignment vertical="center"/>
    </xf>
    <xf numFmtId="165" fontId="4" fillId="0" borderId="0" xfId="0" applyNumberFormat="1" applyFont="1" applyAlignment="1">
      <alignment vertical="center"/>
    </xf>
    <xf numFmtId="165" fontId="4" fillId="2" borderId="0" xfId="0" applyNumberFormat="1" applyFont="1" applyFill="1" applyAlignment="1">
      <alignment vertical="center"/>
    </xf>
    <xf numFmtId="165" fontId="4" fillId="3" borderId="0" xfId="0" applyNumberFormat="1" applyFont="1" applyFill="1" applyAlignment="1">
      <alignment vertical="center"/>
    </xf>
    <xf numFmtId="165" fontId="6" fillId="0" borderId="1" xfId="0" applyNumberFormat="1" applyFont="1" applyBorder="1" applyAlignment="1">
      <alignment vertical="center"/>
    </xf>
    <xf numFmtId="165" fontId="6" fillId="2" borderId="1" xfId="0" applyNumberFormat="1" applyFont="1" applyFill="1" applyBorder="1" applyAlignment="1">
      <alignment vertical="center"/>
    </xf>
    <xf numFmtId="165" fontId="6" fillId="3" borderId="1" xfId="0" applyNumberFormat="1" applyFont="1" applyFill="1" applyBorder="1" applyAlignment="1">
      <alignment vertical="center"/>
    </xf>
    <xf numFmtId="164" fontId="2" fillId="0" borderId="2" xfId="0" applyNumberFormat="1" applyFont="1" applyBorder="1" applyAlignment="1">
      <alignment vertical="center"/>
    </xf>
    <xf numFmtId="164" fontId="2" fillId="2" borderId="2" xfId="0" applyNumberFormat="1" applyFont="1" applyFill="1" applyBorder="1" applyAlignment="1">
      <alignment vertical="center"/>
    </xf>
    <xf numFmtId="164" fontId="2" fillId="3" borderId="2" xfId="0" applyNumberFormat="1" applyFont="1" applyFill="1" applyBorder="1" applyAlignment="1">
      <alignment vertical="center"/>
    </xf>
    <xf numFmtId="0" fontId="3" fillId="2" borderId="0" xfId="0" applyFont="1" applyFill="1" applyAlignment="1">
      <alignment vertical="center" wrapText="1"/>
    </xf>
    <xf numFmtId="0" fontId="3" fillId="3" borderId="0" xfId="0" applyFont="1" applyFill="1" applyAlignment="1">
      <alignment vertical="center" wrapText="1"/>
    </xf>
    <xf numFmtId="0" fontId="3" fillId="0" borderId="0" xfId="0" applyFont="1" applyAlignment="1">
      <alignment horizontal="left" vertical="center"/>
    </xf>
    <xf numFmtId="9" fontId="3" fillId="0" borderId="0" xfId="1" applyFont="1" applyAlignment="1">
      <alignment vertical="center" wrapText="1"/>
    </xf>
    <xf numFmtId="0" fontId="2" fillId="0" borderId="0" xfId="0" applyFont="1" applyAlignment="1">
      <alignment vertical="center"/>
    </xf>
    <xf numFmtId="0" fontId="2" fillId="2" borderId="1" xfId="0" applyFont="1" applyFill="1" applyBorder="1" applyAlignment="1">
      <alignment horizontal="right" vertical="center" wrapText="1"/>
    </xf>
    <xf numFmtId="0" fontId="2" fillId="3" borderId="1" xfId="0" applyFont="1" applyFill="1" applyBorder="1" applyAlignment="1">
      <alignment horizontal="right" vertical="center" wrapText="1"/>
    </xf>
    <xf numFmtId="164" fontId="7" fillId="0" borderId="3" xfId="0" applyNumberFormat="1" applyFont="1" applyBorder="1" applyAlignment="1">
      <alignment vertical="center"/>
    </xf>
    <xf numFmtId="164" fontId="7" fillId="2" borderId="3" xfId="0" applyNumberFormat="1" applyFont="1" applyFill="1" applyBorder="1" applyAlignment="1">
      <alignment vertical="center"/>
    </xf>
    <xf numFmtId="164" fontId="7" fillId="3" borderId="3" xfId="0" applyNumberFormat="1" applyFont="1" applyFill="1" applyBorder="1" applyAlignment="1">
      <alignment vertical="center"/>
    </xf>
    <xf numFmtId="0" fontId="4" fillId="0" borderId="0" xfId="0" applyFont="1" applyAlignment="1">
      <alignment vertical="center" wrapText="1"/>
    </xf>
    <xf numFmtId="0" fontId="4" fillId="2" borderId="0" xfId="0" applyFont="1" applyFill="1" applyAlignment="1">
      <alignment vertical="center" wrapText="1"/>
    </xf>
    <xf numFmtId="0" fontId="4" fillId="3" borderId="0" xfId="0" applyFont="1" applyFill="1" applyAlignment="1">
      <alignment vertical="center" wrapText="1"/>
    </xf>
    <xf numFmtId="165" fontId="6" fillId="0" borderId="2" xfId="0" applyNumberFormat="1" applyFont="1" applyBorder="1" applyAlignment="1">
      <alignment vertical="center"/>
    </xf>
    <xf numFmtId="165" fontId="6" fillId="2" borderId="2" xfId="0" applyNumberFormat="1" applyFont="1" applyFill="1" applyBorder="1" applyAlignment="1">
      <alignment vertical="center"/>
    </xf>
    <xf numFmtId="165" fontId="6" fillId="3" borderId="2" xfId="0" applyNumberFormat="1" applyFont="1" applyFill="1" applyBorder="1" applyAlignment="1">
      <alignment vertical="center"/>
    </xf>
    <xf numFmtId="3" fontId="3" fillId="0" borderId="0" xfId="0" applyNumberFormat="1" applyFont="1" applyAlignment="1">
      <alignment vertical="center" wrapText="1"/>
    </xf>
    <xf numFmtId="165" fontId="3" fillId="0" borderId="2" xfId="0" applyNumberFormat="1" applyFont="1" applyBorder="1" applyAlignment="1">
      <alignment vertical="center"/>
    </xf>
    <xf numFmtId="165" fontId="3" fillId="2" borderId="2" xfId="0" applyNumberFormat="1" applyFont="1" applyFill="1" applyBorder="1" applyAlignment="1">
      <alignment vertical="center"/>
    </xf>
    <xf numFmtId="165" fontId="3" fillId="3" borderId="2" xfId="0" applyNumberFormat="1" applyFont="1" applyFill="1" applyBorder="1" applyAlignment="1">
      <alignment vertical="center"/>
    </xf>
    <xf numFmtId="0" fontId="5" fillId="0" borderId="0" xfId="0" applyFont="1" applyAlignment="1">
      <alignment horizontal="right" vertical="center" wrapText="1"/>
    </xf>
    <xf numFmtId="164" fontId="4" fillId="0" borderId="3" xfId="0" applyNumberFormat="1" applyFont="1" applyBorder="1" applyAlignment="1">
      <alignment vertical="center"/>
    </xf>
    <xf numFmtId="164" fontId="4" fillId="2" borderId="3" xfId="0" applyNumberFormat="1" applyFont="1" applyFill="1" applyBorder="1" applyAlignment="1">
      <alignment vertical="center"/>
    </xf>
    <xf numFmtId="164" fontId="4" fillId="3" borderId="3" xfId="0" applyNumberFormat="1" applyFont="1" applyFill="1" applyBorder="1" applyAlignment="1">
      <alignment vertical="center"/>
    </xf>
    <xf numFmtId="165" fontId="4" fillId="5" borderId="0" xfId="0" applyNumberFormat="1" applyFont="1" applyFill="1" applyAlignment="1">
      <alignment vertical="center"/>
    </xf>
    <xf numFmtId="165" fontId="4" fillId="0" borderId="1" xfId="0" applyNumberFormat="1" applyFont="1" applyBorder="1" applyAlignment="1">
      <alignment vertical="center"/>
    </xf>
    <xf numFmtId="165" fontId="4" fillId="2" borderId="1" xfId="0" applyNumberFormat="1" applyFont="1" applyFill="1" applyBorder="1" applyAlignment="1">
      <alignment vertical="center"/>
    </xf>
    <xf numFmtId="165" fontId="4" fillId="3" borderId="1" xfId="0" applyNumberFormat="1" applyFont="1" applyFill="1" applyBorder="1" applyAlignment="1">
      <alignment vertical="center"/>
    </xf>
    <xf numFmtId="165" fontId="4" fillId="0" borderId="3" xfId="0" applyNumberFormat="1" applyFont="1" applyBorder="1" applyAlignment="1">
      <alignment vertical="center"/>
    </xf>
    <xf numFmtId="165" fontId="4" fillId="2" borderId="3" xfId="0" applyNumberFormat="1" applyFont="1" applyFill="1" applyBorder="1" applyAlignment="1">
      <alignment vertical="center"/>
    </xf>
    <xf numFmtId="165" fontId="4" fillId="3" borderId="3" xfId="0" applyNumberFormat="1" applyFont="1" applyFill="1" applyBorder="1" applyAlignment="1">
      <alignment vertical="center"/>
    </xf>
    <xf numFmtId="165" fontId="3" fillId="0" borderId="1" xfId="0" applyNumberFormat="1" applyFont="1" applyBorder="1" applyAlignment="1">
      <alignment vertical="center"/>
    </xf>
    <xf numFmtId="165" fontId="3" fillId="2" borderId="1" xfId="0" applyNumberFormat="1" applyFont="1" applyFill="1" applyBorder="1" applyAlignment="1">
      <alignment vertical="center"/>
    </xf>
    <xf numFmtId="165" fontId="3" fillId="3" borderId="1" xfId="0" applyNumberFormat="1" applyFont="1" applyFill="1" applyBorder="1" applyAlignment="1">
      <alignment vertical="center"/>
    </xf>
    <xf numFmtId="165" fontId="3" fillId="0" borderId="0" xfId="0" applyNumberFormat="1" applyFont="1" applyAlignment="1">
      <alignment vertical="center"/>
    </xf>
    <xf numFmtId="165" fontId="3" fillId="3" borderId="0" xfId="0" applyNumberFormat="1" applyFont="1" applyFill="1" applyAlignment="1">
      <alignment vertical="center"/>
    </xf>
    <xf numFmtId="165" fontId="3" fillId="0" borderId="3" xfId="0" applyNumberFormat="1" applyFont="1" applyBorder="1" applyAlignment="1">
      <alignment vertical="center"/>
    </xf>
    <xf numFmtId="165" fontId="6" fillId="3" borderId="3" xfId="0" applyNumberFormat="1" applyFont="1" applyFill="1" applyBorder="1" applyAlignment="1">
      <alignment vertical="center"/>
    </xf>
    <xf numFmtId="169" fontId="3" fillId="0" borderId="0" xfId="1" applyNumberFormat="1" applyFont="1" applyFill="1" applyAlignment="1">
      <alignment vertical="center" wrapText="1"/>
    </xf>
    <xf numFmtId="164" fontId="2" fillId="0" borderId="0" xfId="0" applyNumberFormat="1" applyFont="1" applyAlignment="1">
      <alignment vertical="center"/>
    </xf>
    <xf numFmtId="164" fontId="2" fillId="2" borderId="0" xfId="0" applyNumberFormat="1" applyFont="1" applyFill="1" applyAlignment="1">
      <alignment vertical="center"/>
    </xf>
    <xf numFmtId="164" fontId="2" fillId="3" borderId="0" xfId="0" applyNumberFormat="1" applyFont="1" applyFill="1" applyAlignment="1">
      <alignment vertical="center"/>
    </xf>
    <xf numFmtId="165" fontId="3" fillId="2" borderId="0" xfId="0" applyNumberFormat="1" applyFont="1" applyFill="1" applyAlignment="1">
      <alignment vertical="center"/>
    </xf>
    <xf numFmtId="165" fontId="4" fillId="4" borderId="0" xfId="0" applyNumberFormat="1" applyFont="1" applyFill="1" applyAlignment="1">
      <alignment vertical="center"/>
    </xf>
    <xf numFmtId="165" fontId="3" fillId="2" borderId="3" xfId="0" applyNumberFormat="1" applyFont="1" applyFill="1" applyBorder="1" applyAlignment="1">
      <alignment vertical="center"/>
    </xf>
    <xf numFmtId="164" fontId="2" fillId="0" borderId="5" xfId="0" applyNumberFormat="1" applyFont="1" applyBorder="1" applyAlignment="1">
      <alignment vertical="center"/>
    </xf>
    <xf numFmtId="164" fontId="2" fillId="2" borderId="5" xfId="0" applyNumberFormat="1" applyFont="1" applyFill="1" applyBorder="1" applyAlignment="1">
      <alignment vertical="center"/>
    </xf>
    <xf numFmtId="164" fontId="2" fillId="3" borderId="5" xfId="0" applyNumberFormat="1" applyFont="1" applyFill="1" applyBorder="1" applyAlignment="1">
      <alignment vertical="center"/>
    </xf>
    <xf numFmtId="0" fontId="3" fillId="0" borderId="0" xfId="0" applyFont="1" applyAlignment="1">
      <alignment horizontal="right" vertical="center" wrapText="1"/>
    </xf>
    <xf numFmtId="167" fontId="3" fillId="0" borderId="4" xfId="0" applyNumberFormat="1" applyFont="1" applyBorder="1" applyAlignment="1">
      <alignment vertical="center"/>
    </xf>
    <xf numFmtId="167" fontId="3" fillId="2" borderId="4" xfId="0" applyNumberFormat="1" applyFont="1" applyFill="1" applyBorder="1" applyAlignment="1">
      <alignment vertical="center"/>
    </xf>
    <xf numFmtId="167" fontId="3" fillId="3" borderId="4" xfId="0" applyNumberFormat="1" applyFont="1" applyFill="1" applyBorder="1" applyAlignment="1">
      <alignment vertical="center"/>
    </xf>
    <xf numFmtId="167" fontId="3" fillId="2" borderId="6" xfId="0" applyNumberFormat="1" applyFont="1" applyFill="1" applyBorder="1" applyAlignment="1">
      <alignment vertical="center"/>
    </xf>
    <xf numFmtId="167" fontId="3" fillId="0" borderId="6" xfId="0" applyNumberFormat="1" applyFont="1" applyBorder="1" applyAlignment="1">
      <alignment vertical="center"/>
    </xf>
    <xf numFmtId="167" fontId="3" fillId="3" borderId="6" xfId="0" applyNumberFormat="1" applyFont="1" applyFill="1" applyBorder="1" applyAlignment="1">
      <alignment vertical="center"/>
    </xf>
    <xf numFmtId="0" fontId="2" fillId="0" borderId="3" xfId="0" applyFont="1" applyBorder="1" applyAlignment="1">
      <alignment horizontal="right" vertical="center" wrapText="1"/>
    </xf>
    <xf numFmtId="168" fontId="2" fillId="0" borderId="1" xfId="0" applyNumberFormat="1" applyFont="1" applyBorder="1" applyAlignment="1">
      <alignment horizontal="right" vertical="center"/>
    </xf>
    <xf numFmtId="168" fontId="2" fillId="0" borderId="1" xfId="0" applyNumberFormat="1" applyFont="1" applyBorder="1" applyAlignment="1">
      <alignment horizontal="right" vertical="center" wrapText="1"/>
    </xf>
    <xf numFmtId="165" fontId="6" fillId="0" borderId="3" xfId="0" applyNumberFormat="1" applyFont="1" applyBorder="1" applyAlignment="1">
      <alignment vertical="center"/>
    </xf>
    <xf numFmtId="165" fontId="6" fillId="5" borderId="3" xfId="0" applyNumberFormat="1" applyFont="1" applyFill="1" applyBorder="1" applyAlignment="1">
      <alignment vertical="center"/>
    </xf>
    <xf numFmtId="0" fontId="2" fillId="0" borderId="2" xfId="0" applyFont="1" applyBorder="1" applyAlignment="1">
      <alignment vertical="center" wrapText="1"/>
    </xf>
    <xf numFmtId="165" fontId="2" fillId="0" borderId="2" xfId="0" applyNumberFormat="1" applyFont="1" applyBorder="1" applyAlignment="1">
      <alignment vertical="center"/>
    </xf>
    <xf numFmtId="165" fontId="2" fillId="5" borderId="2" xfId="0" applyNumberFormat="1" applyFont="1" applyFill="1" applyBorder="1" applyAlignment="1">
      <alignment vertical="center"/>
    </xf>
    <xf numFmtId="165" fontId="11" fillId="0" borderId="2" xfId="0" applyNumberFormat="1" applyFont="1" applyBorder="1" applyAlignment="1">
      <alignment vertical="center"/>
    </xf>
    <xf numFmtId="165" fontId="11" fillId="5" borderId="2" xfId="0" applyNumberFormat="1" applyFont="1" applyFill="1" applyBorder="1" applyAlignment="1">
      <alignment vertical="center"/>
    </xf>
    <xf numFmtId="165" fontId="4" fillId="0" borderId="2" xfId="0" applyNumberFormat="1" applyFont="1" applyBorder="1" applyAlignment="1">
      <alignment vertical="center"/>
    </xf>
    <xf numFmtId="165" fontId="4" fillId="5" borderId="2" xfId="0" applyNumberFormat="1" applyFont="1" applyFill="1" applyBorder="1" applyAlignment="1">
      <alignment vertical="center"/>
    </xf>
    <xf numFmtId="165" fontId="7" fillId="0" borderId="2" xfId="0" applyNumberFormat="1" applyFont="1" applyBorder="1" applyAlignment="1">
      <alignment vertical="center"/>
    </xf>
    <xf numFmtId="165" fontId="7" fillId="5" borderId="2" xfId="0" applyNumberFormat="1" applyFont="1" applyFill="1" applyBorder="1" applyAlignment="1">
      <alignment vertical="center"/>
    </xf>
    <xf numFmtId="165" fontId="3" fillId="0" borderId="0" xfId="0" applyNumberFormat="1" applyFont="1" applyAlignment="1">
      <alignment vertical="center" wrapText="1"/>
    </xf>
    <xf numFmtId="164" fontId="7" fillId="5" borderId="0" xfId="0" applyNumberFormat="1" applyFont="1" applyFill="1"/>
    <xf numFmtId="165" fontId="6" fillId="5" borderId="0" xfId="0" applyNumberFormat="1" applyFont="1" applyFill="1"/>
    <xf numFmtId="165" fontId="7" fillId="5" borderId="0" xfId="0" applyNumberFormat="1" applyFont="1" applyFill="1"/>
    <xf numFmtId="165" fontId="2" fillId="5" borderId="0" xfId="0" applyNumberFormat="1" applyFont="1" applyFill="1"/>
    <xf numFmtId="165" fontId="14" fillId="5" borderId="0" xfId="0" applyNumberFormat="1" applyFont="1" applyFill="1"/>
    <xf numFmtId="0" fontId="3" fillId="0" borderId="0" xfId="0" applyFont="1" applyAlignment="1">
      <alignment horizontal="left" vertical="center" wrapText="1"/>
    </xf>
    <xf numFmtId="0" fontId="3" fillId="0" borderId="0" xfId="0" applyFont="1" applyAlignment="1">
      <alignment vertical="center" wrapText="1"/>
    </xf>
    <xf numFmtId="165" fontId="11" fillId="0" borderId="11" xfId="0" applyNumberFormat="1" applyFont="1" applyBorder="1" applyAlignment="1">
      <alignment horizontal="center" vertical="center"/>
    </xf>
    <xf numFmtId="166" fontId="11" fillId="0" borderId="12" xfId="0" applyNumberFormat="1" applyFont="1" applyBorder="1" applyAlignment="1">
      <alignment horizontal="center" vertical="center"/>
    </xf>
    <xf numFmtId="165" fontId="11" fillId="0" borderId="12" xfId="0" applyNumberFormat="1" applyFont="1" applyBorder="1" applyAlignment="1">
      <alignment horizontal="center" vertical="center"/>
    </xf>
    <xf numFmtId="0" fontId="2" fillId="0" borderId="10" xfId="0" applyFont="1" applyBorder="1" applyAlignment="1">
      <alignment vertical="center" wrapText="1"/>
    </xf>
    <xf numFmtId="0" fontId="3" fillId="0" borderId="13" xfId="0" applyFont="1" applyBorder="1" applyAlignment="1">
      <alignment horizontal="left"/>
    </xf>
    <xf numFmtId="0" fontId="4" fillId="0" borderId="12" xfId="0" applyFont="1" applyBorder="1" applyAlignment="1">
      <alignment horizontal="left"/>
    </xf>
  </cellXfs>
  <cellStyles count="66">
    <cellStyle name="Comma 2" xfId="12" xr:uid="{F292AE36-C42F-404D-89EC-7DA3203D85DF}"/>
    <cellStyle name="Comma 3" xfId="64" xr:uid="{F84965C6-9542-4428-B383-1F50D5CE5094}"/>
    <cellStyle name="Comma 4" xfId="8" xr:uid="{DDB9BD0A-7ADF-4B95-9718-0C1CF08BCE13}"/>
    <cellStyle name="Currency 2" xfId="13" xr:uid="{877910EE-2A48-47B5-91C2-D4EB7FFA7036}"/>
    <cellStyle name="Currency 3" xfId="9" xr:uid="{2C606EEB-F879-4BD8-A9A0-CAB84CD31F65}"/>
    <cellStyle name="Hyperlink 2" xfId="10" xr:uid="{B33A806B-5070-4E08-AB3A-E5E0A607BCE1}"/>
    <cellStyle name="Milliers 2" xfId="49" xr:uid="{AD884F6C-6D9E-4564-8D8A-D13AB4114988}"/>
    <cellStyle name="Milliers 3" xfId="63" xr:uid="{16E015E4-36B3-4CF3-AC4E-81003344AAFF}"/>
    <cellStyle name="Milliers 4" xfId="62" xr:uid="{DE43BD55-5392-4BF3-A7C3-60E29D9755D5}"/>
    <cellStyle name="Normal" xfId="0" builtinId="0"/>
    <cellStyle name="Normal 2" xfId="6" xr:uid="{0981D864-2B3B-4A29-9E30-E8C4643F6510}"/>
    <cellStyle name="Normal 2 2" xfId="48" xr:uid="{EA2E4E19-EC2C-4429-87D4-5FD0F7217EA1}"/>
    <cellStyle name="Normal 3" xfId="7" xr:uid="{B43AD37D-386B-4E67-9A51-F172CF02186C}"/>
    <cellStyle name="Normal 3 3" xfId="4" xr:uid="{8E017445-90BE-4BAF-B506-9A842D91F43B}"/>
    <cellStyle name="Normal 4" xfId="2" xr:uid="{8B296255-7D9D-49A7-866D-A1E58B5E09C4}"/>
    <cellStyle name="Normal 5" xfId="65" xr:uid="{AC7A4F9B-1BF8-474A-B5E8-6838981B6A49}"/>
    <cellStyle name="Percent" xfId="1" builtinId="5"/>
    <cellStyle name="Percent 2" xfId="3" xr:uid="{BC944D77-B15C-4465-903D-E4525D8F5E80}"/>
    <cellStyle name="Percent 2 2" xfId="5" xr:uid="{1A60D7B0-5E3D-4E34-8365-142F47F47A4E}"/>
    <cellStyle name="SAPBorder" xfId="31" xr:uid="{EF47CAC9-0F15-4367-A6A7-367EDFFF0C0E}"/>
    <cellStyle name="SAPDataCell" xfId="11" xr:uid="{F028ADC2-B1C7-42AF-AF23-40F2CF7BF877}"/>
    <cellStyle name="SAPDataRemoved" xfId="54" xr:uid="{A7407EF9-5DB0-4ABA-9706-D434696B53BB}"/>
    <cellStyle name="SAPDataTotalCell" xfId="15" xr:uid="{9C78F5EF-2049-4965-A1B2-CA7170E63584}"/>
    <cellStyle name="SAPDimensionCell" xfId="14" xr:uid="{5598D0F8-FD13-4C31-BE61-12D34CB1A043}"/>
    <cellStyle name="SAPEditableDataCell" xfId="16" xr:uid="{A582A83B-41BC-4C18-9615-534D0AA80DE7}"/>
    <cellStyle name="SAPEditableDataCell 2" xfId="50" xr:uid="{2D479CED-3D99-4746-BEEE-F8863031199C}"/>
    <cellStyle name="SAPEditableDataTotalCell" xfId="19" xr:uid="{74AEFB82-C6EF-4030-B568-0DF290D2F27D}"/>
    <cellStyle name="SAPEditableDataTotalCell 2" xfId="52" xr:uid="{EE4C7D1F-FB9B-411F-8636-EB5EC41679CE}"/>
    <cellStyle name="SAPEmphasized" xfId="39" xr:uid="{A0A3A22A-CEE4-485D-9193-9B6505C5C9D9}"/>
    <cellStyle name="SAPEmphasizedEditableDataCell" xfId="41" xr:uid="{0DAE1FF6-EF67-4322-A40E-D57AD98A6C63}"/>
    <cellStyle name="SAPEmphasizedEditableDataCell 2" xfId="57" xr:uid="{34E2365D-1FDA-4469-8F5A-634B55FF57EE}"/>
    <cellStyle name="SAPEmphasizedEditableDataTotalCell" xfId="42" xr:uid="{793B7E60-BD46-4FEA-B708-EEE217E062AE}"/>
    <cellStyle name="SAPEmphasizedEditableDataTotalCell 2" xfId="58" xr:uid="{18957411-9D35-458A-A034-1404A392A74B}"/>
    <cellStyle name="SAPEmphasizedLockedDataCell" xfId="45" xr:uid="{9C0D92CD-2794-4B20-A541-84EB96AA4866}"/>
    <cellStyle name="SAPEmphasizedLockedDataCell 2" xfId="59" xr:uid="{99EC5196-F7F8-444B-A891-1053D4A60A08}"/>
    <cellStyle name="SAPEmphasizedLockedDataTotalCell" xfId="46" xr:uid="{424B26F7-97D5-4825-9153-9470D12F67E0}"/>
    <cellStyle name="SAPEmphasizedLockedDataTotalCell 2" xfId="60" xr:uid="{EFF1F262-FD8C-4E1C-A034-F3C7FB3C0FE9}"/>
    <cellStyle name="SAPEmphasizedReadonlyDataCell" xfId="43" xr:uid="{46B6E012-94E0-47EB-9C8E-32A1B0D41500}"/>
    <cellStyle name="SAPEmphasizedReadonlyDataTotalCell" xfId="44" xr:uid="{69DE85A1-1D7F-4945-9195-1007934AEA24}"/>
    <cellStyle name="SAPEmphasizedTotal" xfId="40" xr:uid="{7753CCB4-719A-48F6-A2C1-CC6D2A0BA8A1}"/>
    <cellStyle name="SAPError" xfId="55" xr:uid="{19167A47-55BB-478D-8F0F-452CB466011D}"/>
    <cellStyle name="SAPExceptionLevel1" xfId="22" xr:uid="{6A3C1E31-48A5-4441-AE41-DBEC74B59955}"/>
    <cellStyle name="SAPExceptionLevel2" xfId="23" xr:uid="{FBEAB9FA-2C6D-47C0-9F96-994C6CE61189}"/>
    <cellStyle name="SAPExceptionLevel3" xfId="24" xr:uid="{D81D3CBF-EAE4-429E-9DF7-37C7878C0224}"/>
    <cellStyle name="SAPExceptionLevel4" xfId="25" xr:uid="{977D2C95-1895-43B5-A3F2-9D39F510EEE1}"/>
    <cellStyle name="SAPExceptionLevel5" xfId="26" xr:uid="{D351B0E8-1375-43EF-9A23-E945C2EEBAD1}"/>
    <cellStyle name="SAPExceptionLevel6" xfId="27" xr:uid="{1158BCAF-CE33-4EF9-8995-DEEBC5912C5B}"/>
    <cellStyle name="SAPExceptionLevel7" xfId="28" xr:uid="{DBC5AF9A-310F-4E71-9120-458AF3AE1340}"/>
    <cellStyle name="SAPExceptionLevel8" xfId="29" xr:uid="{65E0C4D7-0300-41B0-9398-2A7A169FCB12}"/>
    <cellStyle name="SAPExceptionLevel9" xfId="30" xr:uid="{2805FCB4-BAAF-4CBD-AEFB-34832F7CF1B1}"/>
    <cellStyle name="SAPFormula" xfId="61" xr:uid="{C4E4E7D4-F29C-4C0A-B42E-82E9B442DA95}"/>
    <cellStyle name="SAPGroupingFillCell" xfId="47" xr:uid="{727B184A-1CE5-4C2C-97CE-B02AD40B9F8A}"/>
    <cellStyle name="SAPHierarchyCell0" xfId="34" xr:uid="{E6392E6B-83CD-4D05-B34B-B529A71278E7}"/>
    <cellStyle name="SAPHierarchyCell1" xfId="35" xr:uid="{01E105C8-57DB-4B66-B9C0-7B70EC686F71}"/>
    <cellStyle name="SAPHierarchyCell2" xfId="36" xr:uid="{7868D3DD-EF13-4A0D-9014-179876ABB248}"/>
    <cellStyle name="SAPHierarchyCell3" xfId="37" xr:uid="{FAB0FB8F-DD52-4127-8BDB-7299C0C11E29}"/>
    <cellStyle name="SAPHierarchyCell4" xfId="38" xr:uid="{3CBFD99B-FFE0-4C27-B602-089D2F370FD4}"/>
    <cellStyle name="SAPLockedDataCell" xfId="18" xr:uid="{0505E689-A43E-435B-B9E4-99097D54087C}"/>
    <cellStyle name="SAPLockedDataCell 2" xfId="51" xr:uid="{5F13CCED-9196-4556-A10B-0CED17ADAD1B}"/>
    <cellStyle name="SAPLockedDataTotalCell" xfId="21" xr:uid="{9F1E81AB-8447-4B7A-BC80-CF167AFB8E6E}"/>
    <cellStyle name="SAPLockedDataTotalCell 2" xfId="53" xr:uid="{100A503D-1B06-4D3E-8760-3AEEE3916A8E}"/>
    <cellStyle name="SAPMemberCell" xfId="32" xr:uid="{2ACDAB43-E96A-4E6F-9BDC-36CCB0677549}"/>
    <cellStyle name="SAPMemberTotalCell" xfId="33" xr:uid="{3411D3C1-9CF1-4BC3-B8A9-2BCD4BDFE3C5}"/>
    <cellStyle name="SAPMessageText" xfId="56" xr:uid="{721DCDB1-3378-4E83-832C-159D2467E923}"/>
    <cellStyle name="SAPReadonlyDataCell" xfId="17" xr:uid="{0D2DBB9D-C87C-432C-8CDC-6A664A979701}"/>
    <cellStyle name="SAPReadonlyDataTotalCell" xfId="20" xr:uid="{D84C1B72-0F99-43E9-B560-63FA0AB650FB}"/>
  </cellStyles>
  <dxfs count="0"/>
  <tableStyles count="0" defaultTableStyle="TableStyleMedium2" defaultPivotStyle="PivotStyleLight16"/>
  <colors>
    <mruColors>
      <color rgb="FFFFFF66"/>
      <color rgb="FF0000FF"/>
      <color rgb="FFFF6600"/>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lemence Vermersch" id="{C8C8D76F-4138-43A7-A9C2-DECB605C96C6}" userId="S::c.vermersch@criteo.com::9b8bb81e-d49c-4a12-aca6-a02b6b149819" providerId="AD"/>
</personList>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threadedComments/threadedComment1.xml><?xml version="1.0" encoding="utf-8"?>
<ThreadedComments xmlns="http://schemas.microsoft.com/office/spreadsheetml/2018/threadedcomments" xmlns:x="http://schemas.openxmlformats.org/spreadsheetml/2006/main">
  <threadedComment ref="A42" dT="2020-04-26T08:06:42.61" personId="{C8C8D76F-4138-43A7-A9C2-DECB605C96C6}" id="{92E4EF2F-F279-49E7-AAFD-ADF1B7DC7EFF}">
    <text>New disclosure implemented as of Q2 2019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E103"/>
  <sheetViews>
    <sheetView showGridLines="0" zoomScale="98" zoomScaleNormal="98" workbookViewId="0">
      <pane xSplit="6" topLeftCell="X1" activePane="topRight" state="frozen"/>
      <selection pane="topRight" activeCell="AF24" sqref="AF24"/>
    </sheetView>
  </sheetViews>
  <sheetFormatPr defaultColWidth="21.33203125" defaultRowHeight="13.2" outlineLevelCol="1" x14ac:dyDescent="0.25"/>
  <cols>
    <col min="1" max="1" width="46.77734375" style="2" customWidth="1"/>
    <col min="2" max="6" width="17.6640625" style="2" hidden="1" customWidth="1" outlineLevel="1"/>
    <col min="7" max="7" width="17.6640625" style="2" hidden="1" customWidth="1" outlineLevel="1" collapsed="1"/>
    <col min="8" max="8" width="17.6640625" style="2" hidden="1" customWidth="1" outlineLevel="1"/>
    <col min="9" max="9" width="17.6640625" style="2" hidden="1" customWidth="1" outlineLevel="1" collapsed="1"/>
    <col min="10" max="10" width="17.6640625" style="2" hidden="1" customWidth="1" outlineLevel="1"/>
    <col min="11" max="11" width="17.6640625" style="2" hidden="1" customWidth="1" outlineLevel="1" collapsed="1"/>
    <col min="12" max="12" width="17.6640625" style="2" hidden="1" customWidth="1" outlineLevel="1"/>
    <col min="13" max="13" width="17.6640625" style="2" customWidth="1" collapsed="1"/>
    <col min="14" max="30" width="17.6640625" style="2" customWidth="1"/>
    <col min="31" max="16384" width="21.33203125" style="2"/>
  </cols>
  <sheetData>
    <row r="1" spans="1:31" x14ac:dyDescent="0.25">
      <c r="A1" s="1" t="s">
        <v>3</v>
      </c>
    </row>
    <row r="2" spans="1:31" x14ac:dyDescent="0.25">
      <c r="A2" s="2" t="s">
        <v>4</v>
      </c>
    </row>
    <row r="3" spans="1:31" ht="15" customHeight="1" x14ac:dyDescent="0.25">
      <c r="A3" s="1"/>
      <c r="B3" s="123" t="s">
        <v>5</v>
      </c>
      <c r="C3" s="123" t="s">
        <v>6</v>
      </c>
      <c r="D3" s="123" t="s">
        <v>7</v>
      </c>
      <c r="E3" s="123" t="s">
        <v>8</v>
      </c>
      <c r="F3" s="123" t="s">
        <v>5</v>
      </c>
      <c r="G3" s="123" t="s">
        <v>6</v>
      </c>
      <c r="H3" s="123" t="s">
        <v>7</v>
      </c>
      <c r="I3" s="123" t="s">
        <v>8</v>
      </c>
      <c r="J3" s="123" t="s">
        <v>5</v>
      </c>
      <c r="K3" s="123" t="s">
        <v>6</v>
      </c>
      <c r="L3" s="123" t="s">
        <v>7</v>
      </c>
      <c r="M3" s="123" t="s">
        <v>8</v>
      </c>
      <c r="N3" s="123" t="s">
        <v>5</v>
      </c>
      <c r="O3" s="123" t="s">
        <v>6</v>
      </c>
      <c r="P3" s="123" t="s">
        <v>7</v>
      </c>
      <c r="Q3" s="123" t="s">
        <v>8</v>
      </c>
      <c r="R3" s="123" t="s">
        <v>5</v>
      </c>
      <c r="S3" s="123" t="s">
        <v>6</v>
      </c>
      <c r="T3" s="123" t="s">
        <v>7</v>
      </c>
      <c r="U3" s="123" t="s">
        <v>8</v>
      </c>
      <c r="V3" s="123" t="s">
        <v>5</v>
      </c>
      <c r="W3" s="123" t="s">
        <v>6</v>
      </c>
      <c r="X3" s="123" t="s">
        <v>7</v>
      </c>
      <c r="Y3" s="123" t="s">
        <v>8</v>
      </c>
      <c r="Z3" s="123" t="s">
        <v>5</v>
      </c>
      <c r="AA3" s="123" t="s">
        <v>6</v>
      </c>
      <c r="AB3" s="123" t="s">
        <v>7</v>
      </c>
      <c r="AC3" s="123" t="s">
        <v>8</v>
      </c>
      <c r="AD3" s="123" t="s">
        <v>5</v>
      </c>
    </row>
    <row r="4" spans="1:31" ht="15" customHeight="1" x14ac:dyDescent="0.25">
      <c r="A4" s="3"/>
      <c r="B4" s="4">
        <v>2015</v>
      </c>
      <c r="C4" s="4">
        <v>2016</v>
      </c>
      <c r="D4" s="4">
        <v>2016</v>
      </c>
      <c r="E4" s="4">
        <v>2016</v>
      </c>
      <c r="F4" s="4">
        <v>2016</v>
      </c>
      <c r="G4" s="4">
        <v>2017</v>
      </c>
      <c r="H4" s="4">
        <v>2017</v>
      </c>
      <c r="I4" s="4">
        <v>2017</v>
      </c>
      <c r="J4" s="4" t="s">
        <v>9</v>
      </c>
      <c r="K4" s="4" t="s">
        <v>10</v>
      </c>
      <c r="L4" s="4">
        <v>2018</v>
      </c>
      <c r="M4" s="4">
        <v>2018</v>
      </c>
      <c r="N4" s="4">
        <v>2018</v>
      </c>
      <c r="O4" s="4">
        <v>2019</v>
      </c>
      <c r="P4" s="4">
        <v>2019</v>
      </c>
      <c r="Q4" s="4">
        <v>2019</v>
      </c>
      <c r="R4" s="4">
        <v>2019</v>
      </c>
      <c r="S4" s="4">
        <v>2020</v>
      </c>
      <c r="T4" s="4">
        <v>2020</v>
      </c>
      <c r="U4" s="4">
        <v>2020</v>
      </c>
      <c r="V4" s="4">
        <v>2020</v>
      </c>
      <c r="W4" s="4">
        <v>2021</v>
      </c>
      <c r="X4" s="4">
        <v>2021</v>
      </c>
      <c r="Y4" s="4">
        <v>2021</v>
      </c>
      <c r="Z4" s="4">
        <v>2021</v>
      </c>
      <c r="AA4" s="4">
        <v>2022</v>
      </c>
      <c r="AB4" s="4">
        <v>2022</v>
      </c>
      <c r="AC4" s="4">
        <v>2022</v>
      </c>
      <c r="AD4" s="4">
        <v>2022</v>
      </c>
    </row>
    <row r="5" spans="1:31" ht="15" customHeight="1" x14ac:dyDescent="0.25">
      <c r="A5" s="3"/>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row>
    <row r="6" spans="1:31" ht="15" customHeight="1" x14ac:dyDescent="0.25">
      <c r="A6" s="2" t="s">
        <v>11</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1" ht="15" customHeight="1" x14ac:dyDescent="0.25">
      <c r="A7" s="2" t="s">
        <v>12</v>
      </c>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1" ht="15" customHeight="1" x14ac:dyDescent="0.25">
      <c r="A8" s="2" t="s">
        <v>13</v>
      </c>
      <c r="B8" s="36">
        <f>Cashflows!E41</f>
        <v>353537</v>
      </c>
      <c r="C8" s="36">
        <f>Cashflows!G41</f>
        <v>386110.54063881142</v>
      </c>
      <c r="D8" s="36">
        <f>Cashflows!H41</f>
        <v>377407.54063881142</v>
      </c>
      <c r="E8" s="36">
        <f>Cashflows!I41</f>
        <v>407158.54063881142</v>
      </c>
      <c r="F8" s="36">
        <f>Cashflows!J41</f>
        <v>270317.54063881142</v>
      </c>
      <c r="G8" s="36">
        <f>Cashflows!L41</f>
        <v>303813</v>
      </c>
      <c r="H8" s="36">
        <f>Cashflows!M41</f>
        <v>308185</v>
      </c>
      <c r="I8" s="36">
        <f>Cashflows!N41</f>
        <v>357983</v>
      </c>
      <c r="J8" s="36">
        <f>Cashflows!O41</f>
        <v>414111</v>
      </c>
      <c r="K8" s="36">
        <f>Cashflows!Q41</f>
        <v>483874</v>
      </c>
      <c r="L8" s="36">
        <f>Cashflows!R41</f>
        <v>480285</v>
      </c>
      <c r="M8" s="36">
        <f>Cashflows!S41</f>
        <v>458690</v>
      </c>
      <c r="N8" s="36">
        <f>Cashflows!T41</f>
        <v>364426</v>
      </c>
      <c r="O8" s="36">
        <f>Cashflows!V41</f>
        <v>395771</v>
      </c>
      <c r="P8" s="36">
        <f>Cashflows!W41</f>
        <v>422053</v>
      </c>
      <c r="Q8" s="36">
        <f>Cashflows!X41</f>
        <v>409178</v>
      </c>
      <c r="R8" s="36">
        <f>Cashflows!Z41</f>
        <v>418763</v>
      </c>
      <c r="S8" s="36">
        <f>Cashflows!AA41</f>
        <v>436506</v>
      </c>
      <c r="T8" s="36">
        <f>Cashflows!AB41</f>
        <v>578181</v>
      </c>
      <c r="U8" s="36">
        <f>Cashflows!AC41</f>
        <v>626744</v>
      </c>
      <c r="V8" s="36">
        <f>Cashflows!AD41</f>
        <v>488011</v>
      </c>
      <c r="W8" s="36">
        <f>Cashflows!AF41</f>
        <v>520060</v>
      </c>
      <c r="X8" s="36">
        <f>Cashflows!AG41</f>
        <v>489521</v>
      </c>
      <c r="Y8" s="36">
        <f>Cashflows!AH41</f>
        <v>497458</v>
      </c>
      <c r="Z8" s="36">
        <f>Cashflows!AJ41</f>
        <v>515527</v>
      </c>
      <c r="AA8" s="36">
        <f>Cashflows!AK41+1</f>
        <v>589343</v>
      </c>
      <c r="AB8" s="36">
        <f>Cashflows!AL41</f>
        <v>562546</v>
      </c>
      <c r="AC8" s="36">
        <v>307323</v>
      </c>
      <c r="AD8" s="36">
        <v>348200</v>
      </c>
      <c r="AE8" s="187"/>
    </row>
    <row r="9" spans="1:31" ht="15" customHeight="1" x14ac:dyDescent="0.25">
      <c r="A9" s="2" t="s">
        <v>14</v>
      </c>
      <c r="B9" s="39">
        <v>261581</v>
      </c>
      <c r="C9" s="39">
        <v>262524</v>
      </c>
      <c r="D9" s="39">
        <v>266436</v>
      </c>
      <c r="E9" s="39">
        <v>268097</v>
      </c>
      <c r="F9" s="39">
        <v>397244</v>
      </c>
      <c r="G9" s="39">
        <v>340837</v>
      </c>
      <c r="H9" s="39">
        <v>370052</v>
      </c>
      <c r="I9" s="39">
        <v>373922</v>
      </c>
      <c r="J9" s="39">
        <v>484101</v>
      </c>
      <c r="K9" s="39">
        <v>395707</v>
      </c>
      <c r="L9" s="39">
        <v>372906</v>
      </c>
      <c r="M9" s="39">
        <v>356792</v>
      </c>
      <c r="N9" s="39">
        <v>473901</v>
      </c>
      <c r="O9" s="39">
        <v>386792</v>
      </c>
      <c r="P9" s="39">
        <v>374949</v>
      </c>
      <c r="Q9" s="39">
        <v>356699</v>
      </c>
      <c r="R9" s="39">
        <v>481732</v>
      </c>
      <c r="S9" s="39">
        <v>364440</v>
      </c>
      <c r="T9" s="39">
        <v>329979</v>
      </c>
      <c r="U9" s="39">
        <v>335583</v>
      </c>
      <c r="V9" s="39">
        <v>474055</v>
      </c>
      <c r="W9" s="39">
        <v>416910</v>
      </c>
      <c r="X9" s="39">
        <v>438703</v>
      </c>
      <c r="Y9" s="39">
        <v>439493</v>
      </c>
      <c r="Z9" s="39">
        <v>581988</v>
      </c>
      <c r="AA9" s="39">
        <v>479636</v>
      </c>
      <c r="AB9" s="39">
        <v>490643</v>
      </c>
      <c r="AC9" s="39">
        <v>576082</v>
      </c>
      <c r="AD9" s="39">
        <v>708949</v>
      </c>
    </row>
    <row r="10" spans="1:31" ht="15" customHeight="1" x14ac:dyDescent="0.25">
      <c r="A10" s="125" t="s">
        <v>15</v>
      </c>
      <c r="B10" s="39">
        <v>2714</v>
      </c>
      <c r="C10" s="39">
        <v>2977</v>
      </c>
      <c r="D10" s="39">
        <v>5277</v>
      </c>
      <c r="E10" s="39">
        <v>4422</v>
      </c>
      <c r="F10" s="39">
        <v>2741</v>
      </c>
      <c r="G10" s="39">
        <v>3560</v>
      </c>
      <c r="H10" s="39">
        <v>6872</v>
      </c>
      <c r="I10" s="39">
        <v>5295</v>
      </c>
      <c r="J10" s="39">
        <v>8882</v>
      </c>
      <c r="K10" s="39">
        <v>7646</v>
      </c>
      <c r="L10" s="39">
        <v>11921</v>
      </c>
      <c r="M10" s="39">
        <v>20316</v>
      </c>
      <c r="N10" s="39">
        <v>19370</v>
      </c>
      <c r="O10" s="39">
        <v>8182</v>
      </c>
      <c r="P10" s="39">
        <v>18185</v>
      </c>
      <c r="Q10" s="39">
        <v>22412</v>
      </c>
      <c r="R10" s="39">
        <v>21817</v>
      </c>
      <c r="S10" s="39">
        <v>23101</v>
      </c>
      <c r="T10" s="39">
        <v>19932</v>
      </c>
      <c r="U10" s="39">
        <v>11422</v>
      </c>
      <c r="V10" s="39">
        <v>11092</v>
      </c>
      <c r="W10" s="39">
        <v>12750</v>
      </c>
      <c r="X10" s="39">
        <v>13055</v>
      </c>
      <c r="Y10" s="39">
        <v>14276</v>
      </c>
      <c r="Z10" s="39">
        <v>8784</v>
      </c>
      <c r="AA10" s="39">
        <v>10131</v>
      </c>
      <c r="AB10" s="39">
        <v>19888</v>
      </c>
      <c r="AC10" s="39">
        <v>16474</v>
      </c>
      <c r="AD10" s="39">
        <v>23609</v>
      </c>
    </row>
    <row r="11" spans="1:31" ht="15" customHeight="1" x14ac:dyDescent="0.25">
      <c r="A11" s="125" t="s">
        <v>16</v>
      </c>
      <c r="B11" s="39">
        <v>29552</v>
      </c>
      <c r="C11" s="39">
        <v>35332</v>
      </c>
      <c r="D11" s="39">
        <v>39527</v>
      </c>
      <c r="E11" s="39">
        <v>45323</v>
      </c>
      <c r="F11" s="39">
        <v>52942</v>
      </c>
      <c r="G11" s="39">
        <v>44834</v>
      </c>
      <c r="H11" s="39">
        <v>46514</v>
      </c>
      <c r="I11" s="39">
        <v>46095</v>
      </c>
      <c r="J11" s="39">
        <v>58346</v>
      </c>
      <c r="K11" s="39">
        <v>52557</v>
      </c>
      <c r="L11" s="39">
        <v>42076</v>
      </c>
      <c r="M11" s="39">
        <v>48722</v>
      </c>
      <c r="N11" s="39">
        <v>53338</v>
      </c>
      <c r="O11" s="39">
        <v>56828</v>
      </c>
      <c r="P11" s="39">
        <v>56090</v>
      </c>
      <c r="Q11" s="39">
        <v>52810</v>
      </c>
      <c r="R11" s="39">
        <v>60924</v>
      </c>
      <c r="S11" s="39">
        <v>65293</v>
      </c>
      <c r="T11" s="39">
        <v>54008</v>
      </c>
      <c r="U11" s="39">
        <v>58123</v>
      </c>
      <c r="V11" s="39">
        <v>69987</v>
      </c>
      <c r="W11" s="39">
        <v>69692</v>
      </c>
      <c r="X11" s="39">
        <v>71866</v>
      </c>
      <c r="Y11" s="39">
        <v>75214</v>
      </c>
      <c r="Z11" s="39">
        <v>73388</v>
      </c>
      <c r="AA11" s="39">
        <v>72869</v>
      </c>
      <c r="AB11" s="39">
        <v>68608</v>
      </c>
      <c r="AC11" s="39">
        <v>75795</v>
      </c>
      <c r="AD11" s="39">
        <v>78274</v>
      </c>
    </row>
    <row r="12" spans="1:31" ht="15" customHeight="1" x14ac:dyDescent="0.25">
      <c r="A12" s="125" t="s">
        <v>17</v>
      </c>
      <c r="B12" s="39">
        <v>16030</v>
      </c>
      <c r="C12" s="39">
        <v>22374</v>
      </c>
      <c r="D12" s="39">
        <v>23164</v>
      </c>
      <c r="E12" s="39">
        <v>20288</v>
      </c>
      <c r="F12" s="39">
        <v>19340</v>
      </c>
      <c r="G12" s="39">
        <v>22772</v>
      </c>
      <c r="H12" s="39">
        <v>28270</v>
      </c>
      <c r="I12" s="39">
        <v>26945</v>
      </c>
      <c r="J12" s="39">
        <v>26327</v>
      </c>
      <c r="K12" s="39">
        <v>26463</v>
      </c>
      <c r="L12" s="39">
        <v>26114</v>
      </c>
      <c r="M12" s="39">
        <v>26855</v>
      </c>
      <c r="N12" s="39">
        <v>22816</v>
      </c>
      <c r="O12" s="39">
        <v>24737</v>
      </c>
      <c r="P12" s="39">
        <v>18751</v>
      </c>
      <c r="Q12" s="39">
        <v>18165</v>
      </c>
      <c r="R12" s="39">
        <v>17225</v>
      </c>
      <c r="S12" s="39">
        <v>19832</v>
      </c>
      <c r="T12" s="39">
        <v>17306</v>
      </c>
      <c r="U12" s="39">
        <v>19278</v>
      </c>
      <c r="V12" s="39">
        <v>21405</v>
      </c>
      <c r="W12" s="39">
        <v>22494</v>
      </c>
      <c r="X12" s="39">
        <v>21841</v>
      </c>
      <c r="Y12" s="39">
        <v>23185</v>
      </c>
      <c r="Z12" s="39">
        <v>34182</v>
      </c>
      <c r="AA12" s="39">
        <v>45460</v>
      </c>
      <c r="AB12" s="39">
        <v>39240</v>
      </c>
      <c r="AC12" s="39">
        <v>34347</v>
      </c>
      <c r="AD12" s="39">
        <v>51866</v>
      </c>
    </row>
    <row r="13" spans="1:31" ht="15" customHeight="1" x14ac:dyDescent="0.25">
      <c r="A13" s="125" t="s">
        <v>18</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v>25000</v>
      </c>
      <c r="AD13" s="39">
        <v>25000</v>
      </c>
    </row>
    <row r="14" spans="1:31" ht="15" customHeight="1" x14ac:dyDescent="0.25">
      <c r="A14" s="125" t="s">
        <v>19</v>
      </c>
      <c r="B14" s="41"/>
      <c r="C14" s="41"/>
      <c r="D14" s="41"/>
      <c r="E14" s="41"/>
      <c r="F14" s="41"/>
      <c r="G14" s="41"/>
      <c r="H14" s="41"/>
      <c r="I14" s="41"/>
      <c r="J14" s="41"/>
      <c r="K14" s="41"/>
      <c r="L14" s="41"/>
      <c r="M14" s="41"/>
      <c r="N14" s="41"/>
      <c r="O14" s="41"/>
      <c r="P14" s="41"/>
      <c r="Q14" s="41"/>
      <c r="R14" s="41"/>
      <c r="S14" s="41"/>
      <c r="T14" s="41"/>
      <c r="U14" s="41"/>
      <c r="V14" s="41"/>
      <c r="W14" s="41">
        <v>17586</v>
      </c>
      <c r="X14" s="41">
        <v>53471</v>
      </c>
      <c r="Y14" s="41">
        <v>46311</v>
      </c>
      <c r="Z14" s="41">
        <v>50299</v>
      </c>
      <c r="AA14" s="41">
        <v>31387</v>
      </c>
      <c r="AB14" s="41">
        <v>10000</v>
      </c>
      <c r="AC14" s="41">
        <v>10000</v>
      </c>
      <c r="AD14" s="41">
        <v>25098</v>
      </c>
    </row>
    <row r="15" spans="1:31" ht="15" customHeight="1" x14ac:dyDescent="0.25">
      <c r="A15" s="126" t="s">
        <v>20</v>
      </c>
      <c r="B15" s="42">
        <f t="shared" ref="B15:E15" si="0">SUM(B8:B12)</f>
        <v>663414</v>
      </c>
      <c r="C15" s="42">
        <f>SUM(C8:C12)</f>
        <v>709317.54063881142</v>
      </c>
      <c r="D15" s="42">
        <f t="shared" si="0"/>
        <v>711811.54063881142</v>
      </c>
      <c r="E15" s="42">
        <f t="shared" si="0"/>
        <v>745288.54063881142</v>
      </c>
      <c r="F15" s="42">
        <f>SUM(F8:F12)</f>
        <v>742584.54063881142</v>
      </c>
      <c r="G15" s="42">
        <f>SUM(G8:G12)</f>
        <v>715816</v>
      </c>
      <c r="H15" s="42">
        <f>SUM(H8:H12)</f>
        <v>759893</v>
      </c>
      <c r="I15" s="42">
        <v>810240</v>
      </c>
      <c r="J15" s="42">
        <f t="shared" ref="J15:R15" si="1">SUM(J8:J12)</f>
        <v>991767</v>
      </c>
      <c r="K15" s="42">
        <f t="shared" si="1"/>
        <v>966247</v>
      </c>
      <c r="L15" s="42">
        <f t="shared" si="1"/>
        <v>933302</v>
      </c>
      <c r="M15" s="42">
        <f t="shared" si="1"/>
        <v>911375</v>
      </c>
      <c r="N15" s="42">
        <f t="shared" si="1"/>
        <v>933851</v>
      </c>
      <c r="O15" s="42">
        <f t="shared" si="1"/>
        <v>872310</v>
      </c>
      <c r="P15" s="42">
        <f t="shared" si="1"/>
        <v>890028</v>
      </c>
      <c r="Q15" s="42">
        <f t="shared" si="1"/>
        <v>859264</v>
      </c>
      <c r="R15" s="42">
        <f t="shared" si="1"/>
        <v>1000461</v>
      </c>
      <c r="S15" s="42">
        <f t="shared" ref="S15:V15" si="2">SUM(S8:S12)</f>
        <v>909172</v>
      </c>
      <c r="T15" s="42">
        <f t="shared" si="2"/>
        <v>999406</v>
      </c>
      <c r="U15" s="42">
        <f t="shared" si="2"/>
        <v>1051150</v>
      </c>
      <c r="V15" s="42">
        <f t="shared" si="2"/>
        <v>1064550</v>
      </c>
      <c r="W15" s="42">
        <f t="shared" ref="W15:AA15" si="3">SUM(W8:W14)</f>
        <v>1059492</v>
      </c>
      <c r="X15" s="42">
        <f t="shared" si="3"/>
        <v>1088457</v>
      </c>
      <c r="Y15" s="42">
        <f t="shared" si="3"/>
        <v>1095937</v>
      </c>
      <c r="Z15" s="42">
        <f t="shared" si="3"/>
        <v>1264168</v>
      </c>
      <c r="AA15" s="42">
        <f t="shared" si="3"/>
        <v>1228826</v>
      </c>
      <c r="AB15" s="42">
        <f>SUM(AB8:AB14)</f>
        <v>1190925</v>
      </c>
      <c r="AC15" s="42">
        <f>SUM(AC8:AC14)</f>
        <v>1045021</v>
      </c>
      <c r="AD15" s="42">
        <f>SUM(AD8:AD14)</f>
        <v>1260996</v>
      </c>
      <c r="AE15" s="152"/>
    </row>
    <row r="16" spans="1:31" ht="15" customHeight="1" x14ac:dyDescent="0.25">
      <c r="A16" s="2" t="s">
        <v>21</v>
      </c>
      <c r="B16" s="60">
        <v>82482</v>
      </c>
      <c r="C16" s="60">
        <v>85845</v>
      </c>
      <c r="D16" s="60">
        <v>97236</v>
      </c>
      <c r="E16" s="60">
        <v>98353</v>
      </c>
      <c r="F16" s="60">
        <v>108581</v>
      </c>
      <c r="G16" s="60">
        <v>115415</v>
      </c>
      <c r="H16" s="60">
        <v>131346</v>
      </c>
      <c r="I16" s="60">
        <v>134885</v>
      </c>
      <c r="J16" s="60">
        <v>161738</v>
      </c>
      <c r="K16" s="60">
        <v>153252</v>
      </c>
      <c r="L16" s="60">
        <v>146904</v>
      </c>
      <c r="M16" s="60">
        <v>183777</v>
      </c>
      <c r="N16" s="60">
        <v>184013</v>
      </c>
      <c r="O16" s="60">
        <v>180377</v>
      </c>
      <c r="P16" s="60">
        <v>192651</v>
      </c>
      <c r="Q16" s="60">
        <v>197522</v>
      </c>
      <c r="R16" s="60">
        <v>194161</v>
      </c>
      <c r="S16" s="60">
        <v>181848</v>
      </c>
      <c r="T16" s="60">
        <v>195736</v>
      </c>
      <c r="U16" s="60">
        <v>195679</v>
      </c>
      <c r="V16" s="60">
        <v>189505</v>
      </c>
      <c r="W16" s="60">
        <v>168036</v>
      </c>
      <c r="X16" s="60">
        <v>161971</v>
      </c>
      <c r="Y16" s="60">
        <v>150112</v>
      </c>
      <c r="Z16" s="60">
        <v>139961</v>
      </c>
      <c r="AA16" s="60">
        <v>129164</v>
      </c>
      <c r="AB16" s="60">
        <v>124133</v>
      </c>
      <c r="AC16" s="60">
        <v>114493</v>
      </c>
      <c r="AD16" s="60">
        <v>131207</v>
      </c>
    </row>
    <row r="17" spans="1:31" ht="15" customHeight="1" x14ac:dyDescent="0.25">
      <c r="A17" s="2" t="s">
        <v>22</v>
      </c>
      <c r="B17" s="39">
        <v>16470</v>
      </c>
      <c r="C17" s="39">
        <v>17024</v>
      </c>
      <c r="D17" s="39">
        <v>17170</v>
      </c>
      <c r="E17" s="39">
        <v>18595</v>
      </c>
      <c r="F17" s="39">
        <v>102944</v>
      </c>
      <c r="G17" s="39">
        <v>107962</v>
      </c>
      <c r="H17" s="39">
        <v>104045</v>
      </c>
      <c r="I17" s="39">
        <v>99714</v>
      </c>
      <c r="J17" s="39">
        <v>96223</v>
      </c>
      <c r="K17" s="39">
        <v>92384</v>
      </c>
      <c r="L17" s="39">
        <v>87031</v>
      </c>
      <c r="M17" s="39">
        <v>96848</v>
      </c>
      <c r="N17" s="39">
        <v>112036</v>
      </c>
      <c r="O17" s="39">
        <v>107218</v>
      </c>
      <c r="P17" s="39">
        <v>103113</v>
      </c>
      <c r="Q17" s="39">
        <v>95701</v>
      </c>
      <c r="R17" s="39">
        <v>86886</v>
      </c>
      <c r="S17" s="39">
        <v>79818</v>
      </c>
      <c r="T17" s="39">
        <v>78185</v>
      </c>
      <c r="U17" s="39">
        <v>78340</v>
      </c>
      <c r="V17" s="39">
        <v>79744</v>
      </c>
      <c r="W17" s="39">
        <v>79440</v>
      </c>
      <c r="X17" s="39">
        <v>88558</v>
      </c>
      <c r="Y17" s="39">
        <v>89288</v>
      </c>
      <c r="Z17" s="39">
        <v>82627</v>
      </c>
      <c r="AA17" s="39">
        <v>79441</v>
      </c>
      <c r="AB17" s="39">
        <v>78018</v>
      </c>
      <c r="AC17" s="39">
        <v>77464</v>
      </c>
      <c r="AD17" s="39">
        <v>175983</v>
      </c>
    </row>
    <row r="18" spans="1:31" ht="15" customHeight="1" x14ac:dyDescent="0.25">
      <c r="A18" s="2" t="s">
        <v>23</v>
      </c>
      <c r="B18" s="39">
        <v>41973</v>
      </c>
      <c r="C18" s="39">
        <v>42736</v>
      </c>
      <c r="D18" s="39">
        <v>46859</v>
      </c>
      <c r="E18" s="39">
        <v>45690</v>
      </c>
      <c r="F18" s="39">
        <v>209418</v>
      </c>
      <c r="G18" s="39">
        <v>232138</v>
      </c>
      <c r="H18" s="39">
        <v>235337</v>
      </c>
      <c r="I18" s="39">
        <v>236363</v>
      </c>
      <c r="J18" s="39">
        <v>236826</v>
      </c>
      <c r="K18" s="39">
        <v>237757</v>
      </c>
      <c r="L18" s="39">
        <v>235950</v>
      </c>
      <c r="M18" s="39">
        <v>268734</v>
      </c>
      <c r="N18" s="39">
        <v>312881</v>
      </c>
      <c r="O18" s="39">
        <v>317076</v>
      </c>
      <c r="P18" s="39">
        <v>317093</v>
      </c>
      <c r="Q18" s="39">
        <v>314872</v>
      </c>
      <c r="R18" s="39">
        <v>317100</v>
      </c>
      <c r="S18" s="39">
        <v>315266</v>
      </c>
      <c r="T18" s="39">
        <v>316575</v>
      </c>
      <c r="U18" s="39">
        <v>319595</v>
      </c>
      <c r="V18" s="39">
        <v>325805</v>
      </c>
      <c r="W18" s="39">
        <v>322821</v>
      </c>
      <c r="X18" s="39">
        <v>332295</v>
      </c>
      <c r="Y18" s="39">
        <v>330561</v>
      </c>
      <c r="Z18" s="39">
        <v>329699</v>
      </c>
      <c r="AA18" s="39">
        <v>328125</v>
      </c>
      <c r="AB18" s="39">
        <v>322972</v>
      </c>
      <c r="AC18" s="39">
        <v>597781</v>
      </c>
      <c r="AD18" s="39">
        <v>515140</v>
      </c>
    </row>
    <row r="19" spans="1:31" ht="15" customHeight="1" x14ac:dyDescent="0.25">
      <c r="A19" s="2" t="s">
        <v>24</v>
      </c>
      <c r="B19" s="39"/>
      <c r="C19" s="39"/>
      <c r="D19" s="39"/>
      <c r="E19" s="39"/>
      <c r="F19" s="39"/>
      <c r="G19" s="39"/>
      <c r="H19" s="39"/>
      <c r="I19" s="39"/>
      <c r="J19" s="39"/>
      <c r="K19" s="39"/>
      <c r="L19" s="39"/>
      <c r="M19" s="39"/>
      <c r="N19" s="39"/>
      <c r="O19" s="39">
        <v>200274</v>
      </c>
      <c r="P19" s="39">
        <v>183725</v>
      </c>
      <c r="Q19" s="39">
        <v>169921</v>
      </c>
      <c r="R19" s="39">
        <v>142044</v>
      </c>
      <c r="S19" s="39">
        <v>139954</v>
      </c>
      <c r="T19" s="39">
        <v>137808</v>
      </c>
      <c r="U19" s="39">
        <v>120283</v>
      </c>
      <c r="V19" s="39">
        <v>114012</v>
      </c>
      <c r="W19" s="39">
        <v>96266</v>
      </c>
      <c r="X19" s="39">
        <v>130104</v>
      </c>
      <c r="Y19" s="39">
        <v>117273</v>
      </c>
      <c r="Z19" s="39">
        <v>120257</v>
      </c>
      <c r="AA19" s="39">
        <v>110784</v>
      </c>
      <c r="AB19" s="39">
        <v>108563</v>
      </c>
      <c r="AC19" s="39">
        <v>101982</v>
      </c>
      <c r="AD19" s="39">
        <v>102176</v>
      </c>
    </row>
    <row r="20" spans="1:31" ht="15" customHeight="1" x14ac:dyDescent="0.25">
      <c r="A20" s="2" t="s">
        <v>25</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v>75000</v>
      </c>
      <c r="AD20" s="39">
        <v>75000</v>
      </c>
    </row>
    <row r="21" spans="1:31" ht="15" customHeight="1" x14ac:dyDescent="0.25">
      <c r="A21" s="2" t="s">
        <v>26</v>
      </c>
      <c r="B21" s="39"/>
      <c r="C21" s="39"/>
      <c r="D21" s="39"/>
      <c r="E21" s="39"/>
      <c r="F21" s="39"/>
      <c r="G21" s="39"/>
      <c r="H21" s="39"/>
      <c r="I21" s="39"/>
      <c r="J21" s="39"/>
      <c r="K21" s="39"/>
      <c r="L21" s="39"/>
      <c r="M21" s="39"/>
      <c r="N21" s="39"/>
      <c r="O21" s="39"/>
      <c r="P21" s="39"/>
      <c r="Q21" s="39"/>
      <c r="R21" s="39"/>
      <c r="S21" s="39"/>
      <c r="T21" s="39">
        <v>22396</v>
      </c>
      <c r="U21" s="39">
        <v>23416</v>
      </c>
      <c r="V21" s="39">
        <v>41809</v>
      </c>
      <c r="W21" s="39">
        <v>28281</v>
      </c>
      <c r="X21" s="39">
        <v>10000</v>
      </c>
      <c r="Y21" s="39">
        <v>10000</v>
      </c>
      <c r="Z21" s="39">
        <v>5000</v>
      </c>
      <c r="AA21" s="39">
        <v>0</v>
      </c>
      <c r="AB21" s="39">
        <v>0</v>
      </c>
      <c r="AC21" s="39">
        <v>0</v>
      </c>
      <c r="AD21" s="39">
        <v>0</v>
      </c>
    </row>
    <row r="22" spans="1:31" ht="15" customHeight="1" x14ac:dyDescent="0.25">
      <c r="A22" s="2" t="s">
        <v>27</v>
      </c>
      <c r="B22" s="39">
        <v>17184</v>
      </c>
      <c r="C22" s="39">
        <v>16880</v>
      </c>
      <c r="D22" s="39">
        <v>17010</v>
      </c>
      <c r="E22" s="39">
        <v>17453</v>
      </c>
      <c r="F22" s="39">
        <v>17029</v>
      </c>
      <c r="G22" s="39">
        <v>19857</v>
      </c>
      <c r="H22" s="39">
        <v>18824</v>
      </c>
      <c r="I22" s="39">
        <v>19350</v>
      </c>
      <c r="J22" s="39">
        <v>19525</v>
      </c>
      <c r="K22" s="39">
        <v>21137</v>
      </c>
      <c r="L22" s="39">
        <v>20226</v>
      </c>
      <c r="M22" s="39">
        <v>20491</v>
      </c>
      <c r="N22" s="39">
        <v>20460</v>
      </c>
      <c r="O22" s="39">
        <v>20331</v>
      </c>
      <c r="P22" s="39">
        <v>21613</v>
      </c>
      <c r="Q22" s="39">
        <v>21251</v>
      </c>
      <c r="R22" s="39">
        <v>21747</v>
      </c>
      <c r="S22" s="39">
        <v>20373</v>
      </c>
      <c r="T22" s="39">
        <v>19809</v>
      </c>
      <c r="U22" s="39">
        <v>20174</v>
      </c>
      <c r="V22" s="39">
        <v>18109</v>
      </c>
      <c r="W22" s="39">
        <v>14788</v>
      </c>
      <c r="X22" s="39">
        <v>14766</v>
      </c>
      <c r="Y22" s="39">
        <v>7371</v>
      </c>
      <c r="Z22" s="39">
        <v>6436</v>
      </c>
      <c r="AA22" s="39">
        <v>6855</v>
      </c>
      <c r="AB22" s="39">
        <v>4908</v>
      </c>
      <c r="AC22" s="39">
        <v>6864</v>
      </c>
      <c r="AD22" s="39">
        <v>5928</v>
      </c>
    </row>
    <row r="23" spans="1:31" ht="15" customHeight="1" x14ac:dyDescent="0.25">
      <c r="A23" s="2" t="s">
        <v>28</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v>54478</v>
      </c>
      <c r="AD23" s="39">
        <v>50818</v>
      </c>
    </row>
    <row r="24" spans="1:31" ht="15" customHeight="1" x14ac:dyDescent="0.25">
      <c r="A24" s="2" t="s">
        <v>29</v>
      </c>
      <c r="B24" s="41">
        <v>20196</v>
      </c>
      <c r="C24" s="41">
        <v>21911</v>
      </c>
      <c r="D24" s="41">
        <v>25330</v>
      </c>
      <c r="E24" s="41">
        <v>28586</v>
      </c>
      <c r="F24" s="41">
        <v>30630</v>
      </c>
      <c r="G24" s="41">
        <v>46201</v>
      </c>
      <c r="H24" s="41">
        <v>48700</v>
      </c>
      <c r="I24" s="41">
        <v>57642</v>
      </c>
      <c r="J24" s="41">
        <v>25221</v>
      </c>
      <c r="K24" s="41">
        <v>28583</v>
      </c>
      <c r="L24" s="41">
        <v>33129</v>
      </c>
      <c r="M24" s="41">
        <v>34718</v>
      </c>
      <c r="N24" s="41">
        <v>33894</v>
      </c>
      <c r="O24" s="41">
        <v>48330</v>
      </c>
      <c r="P24" s="41">
        <v>41346</v>
      </c>
      <c r="Q24" s="41">
        <v>43357</v>
      </c>
      <c r="R24" s="41">
        <v>27985</v>
      </c>
      <c r="S24" s="41">
        <v>29458</v>
      </c>
      <c r="T24" s="41">
        <v>34487</v>
      </c>
      <c r="U24" s="41">
        <v>34731</v>
      </c>
      <c r="V24" s="41">
        <v>19876</v>
      </c>
      <c r="W24" s="41">
        <v>13511</v>
      </c>
      <c r="X24" s="41">
        <v>16291</v>
      </c>
      <c r="Y24" s="41">
        <v>13951</v>
      </c>
      <c r="Z24" s="41">
        <v>35443</v>
      </c>
      <c r="AA24" s="41">
        <v>32145</v>
      </c>
      <c r="AB24" s="41">
        <v>41325</v>
      </c>
      <c r="AC24" s="41">
        <v>49487</v>
      </c>
      <c r="AD24" s="41">
        <v>31646</v>
      </c>
    </row>
    <row r="25" spans="1:31" ht="15" customHeight="1" x14ac:dyDescent="0.25">
      <c r="A25" s="126" t="s">
        <v>30</v>
      </c>
      <c r="B25" s="42">
        <f t="shared" ref="B25:H25" si="4">SUM(B16:B24)</f>
        <v>178305</v>
      </c>
      <c r="C25" s="42">
        <f t="shared" si="4"/>
        <v>184396</v>
      </c>
      <c r="D25" s="42">
        <f t="shared" si="4"/>
        <v>203605</v>
      </c>
      <c r="E25" s="42">
        <f t="shared" si="4"/>
        <v>208677</v>
      </c>
      <c r="F25" s="42">
        <f t="shared" si="4"/>
        <v>468602</v>
      </c>
      <c r="G25" s="42">
        <f t="shared" si="4"/>
        <v>521573</v>
      </c>
      <c r="H25" s="42">
        <f t="shared" si="4"/>
        <v>538252</v>
      </c>
      <c r="I25" s="42">
        <v>547954</v>
      </c>
      <c r="J25" s="42">
        <f t="shared" ref="J25:AC25" si="5">SUM(J16:J24)</f>
        <v>539533</v>
      </c>
      <c r="K25" s="42">
        <f t="shared" si="5"/>
        <v>533113</v>
      </c>
      <c r="L25" s="42">
        <f t="shared" si="5"/>
        <v>523240</v>
      </c>
      <c r="M25" s="42">
        <f t="shared" si="5"/>
        <v>604568</v>
      </c>
      <c r="N25" s="42">
        <f t="shared" si="5"/>
        <v>663284</v>
      </c>
      <c r="O25" s="42">
        <f t="shared" si="5"/>
        <v>873606</v>
      </c>
      <c r="P25" s="42">
        <f t="shared" si="5"/>
        <v>859541</v>
      </c>
      <c r="Q25" s="42">
        <f t="shared" si="5"/>
        <v>842624</v>
      </c>
      <c r="R25" s="42">
        <f t="shared" si="5"/>
        <v>789923</v>
      </c>
      <c r="S25" s="42">
        <f t="shared" si="5"/>
        <v>766717</v>
      </c>
      <c r="T25" s="42">
        <f t="shared" si="5"/>
        <v>804996</v>
      </c>
      <c r="U25" s="42">
        <f t="shared" si="5"/>
        <v>792218</v>
      </c>
      <c r="V25" s="42">
        <f t="shared" si="5"/>
        <v>788860</v>
      </c>
      <c r="W25" s="42">
        <f t="shared" si="5"/>
        <v>723143</v>
      </c>
      <c r="X25" s="42">
        <f t="shared" si="5"/>
        <v>753985</v>
      </c>
      <c r="Y25" s="42">
        <f t="shared" si="5"/>
        <v>718556</v>
      </c>
      <c r="Z25" s="42">
        <f t="shared" si="5"/>
        <v>719423</v>
      </c>
      <c r="AA25" s="42">
        <f t="shared" si="5"/>
        <v>686514</v>
      </c>
      <c r="AB25" s="42">
        <f t="shared" si="5"/>
        <v>679919</v>
      </c>
      <c r="AC25" s="42">
        <f t="shared" si="5"/>
        <v>1077549</v>
      </c>
      <c r="AD25" s="42">
        <f>SUM(AD16:AD24)</f>
        <v>1087898</v>
      </c>
    </row>
    <row r="26" spans="1:31" ht="15" customHeight="1" thickBot="1" x14ac:dyDescent="0.3">
      <c r="A26" s="127" t="s">
        <v>31</v>
      </c>
      <c r="B26" s="33">
        <f t="shared" ref="B26:H26" si="6">SUM(B15,B25)</f>
        <v>841719</v>
      </c>
      <c r="C26" s="33">
        <f t="shared" si="6"/>
        <v>893713.54063881142</v>
      </c>
      <c r="D26" s="33">
        <f t="shared" si="6"/>
        <v>915416.54063881142</v>
      </c>
      <c r="E26" s="33">
        <f t="shared" si="6"/>
        <v>953965.54063881142</v>
      </c>
      <c r="F26" s="33">
        <f t="shared" si="6"/>
        <v>1211186.5406388114</v>
      </c>
      <c r="G26" s="33">
        <f t="shared" si="6"/>
        <v>1237389</v>
      </c>
      <c r="H26" s="33">
        <f t="shared" si="6"/>
        <v>1298145</v>
      </c>
      <c r="I26" s="33">
        <v>1358194</v>
      </c>
      <c r="J26" s="33">
        <f t="shared" ref="J26:AC26" si="7">SUM(J15,J25)</f>
        <v>1531300</v>
      </c>
      <c r="K26" s="33">
        <f t="shared" si="7"/>
        <v>1499360</v>
      </c>
      <c r="L26" s="33">
        <f t="shared" si="7"/>
        <v>1456542</v>
      </c>
      <c r="M26" s="33">
        <f t="shared" si="7"/>
        <v>1515943</v>
      </c>
      <c r="N26" s="33">
        <f t="shared" si="7"/>
        <v>1597135</v>
      </c>
      <c r="O26" s="33">
        <f t="shared" si="7"/>
        <v>1745916</v>
      </c>
      <c r="P26" s="33">
        <f t="shared" si="7"/>
        <v>1749569</v>
      </c>
      <c r="Q26" s="33">
        <f t="shared" si="7"/>
        <v>1701888</v>
      </c>
      <c r="R26" s="33">
        <f t="shared" si="7"/>
        <v>1790384</v>
      </c>
      <c r="S26" s="33">
        <f t="shared" si="7"/>
        <v>1675889</v>
      </c>
      <c r="T26" s="33">
        <f t="shared" si="7"/>
        <v>1804402</v>
      </c>
      <c r="U26" s="33">
        <f t="shared" si="7"/>
        <v>1843368</v>
      </c>
      <c r="V26" s="33">
        <f t="shared" si="7"/>
        <v>1853410</v>
      </c>
      <c r="W26" s="33">
        <f t="shared" si="7"/>
        <v>1782635</v>
      </c>
      <c r="X26" s="33">
        <f t="shared" si="7"/>
        <v>1842442</v>
      </c>
      <c r="Y26" s="33">
        <f t="shared" si="7"/>
        <v>1814493</v>
      </c>
      <c r="Z26" s="33">
        <f t="shared" si="7"/>
        <v>1983591</v>
      </c>
      <c r="AA26" s="33">
        <f t="shared" si="7"/>
        <v>1915340</v>
      </c>
      <c r="AB26" s="33">
        <f t="shared" si="7"/>
        <v>1870844</v>
      </c>
      <c r="AC26" s="33">
        <f t="shared" si="7"/>
        <v>2122570</v>
      </c>
      <c r="AD26" s="33">
        <f>SUM(AD15,AD25)</f>
        <v>2348894</v>
      </c>
      <c r="AE26" s="183"/>
    </row>
    <row r="27" spans="1:31" ht="15" customHeight="1" thickTop="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1" ht="15" customHeight="1" x14ac:dyDescent="0.25">
      <c r="A28" s="2" t="s">
        <v>32</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row r="29" spans="1:31" ht="15" customHeight="1" x14ac:dyDescent="0.25">
      <c r="A29" s="2" t="s">
        <v>33</v>
      </c>
    </row>
    <row r="30" spans="1:31" ht="15" customHeight="1" x14ac:dyDescent="0.25">
      <c r="A30" s="125" t="s">
        <v>34</v>
      </c>
      <c r="B30" s="32">
        <v>246382</v>
      </c>
      <c r="C30" s="32">
        <v>241119</v>
      </c>
      <c r="D30" s="32">
        <v>240757</v>
      </c>
      <c r="E30" s="32">
        <v>253938</v>
      </c>
      <c r="F30" s="32">
        <v>365788</v>
      </c>
      <c r="G30" s="32">
        <v>295602</v>
      </c>
      <c r="H30" s="32">
        <v>351408</v>
      </c>
      <c r="I30" s="32">
        <v>350690</v>
      </c>
      <c r="J30" s="32">
        <v>417032</v>
      </c>
      <c r="K30" s="32">
        <v>359296</v>
      </c>
      <c r="L30" s="32">
        <v>321295</v>
      </c>
      <c r="M30" s="32">
        <v>332388</v>
      </c>
      <c r="N30" s="32">
        <v>425376</v>
      </c>
      <c r="O30" s="32">
        <v>345923</v>
      </c>
      <c r="P30" s="32">
        <v>332735</v>
      </c>
      <c r="Q30" s="32">
        <v>322284</v>
      </c>
      <c r="R30" s="32">
        <v>390277</v>
      </c>
      <c r="S30" s="32">
        <v>300315</v>
      </c>
      <c r="T30" s="32">
        <v>280626</v>
      </c>
      <c r="U30" s="32">
        <v>293480</v>
      </c>
      <c r="V30" s="32">
        <v>367025</v>
      </c>
      <c r="W30" s="32">
        <v>347209</v>
      </c>
      <c r="X30" s="32">
        <v>341047</v>
      </c>
      <c r="Y30" s="32">
        <v>349985</v>
      </c>
      <c r="Z30" s="32">
        <v>430245</v>
      </c>
      <c r="AA30" s="32">
        <v>374601</v>
      </c>
      <c r="AB30" s="32">
        <v>400058</v>
      </c>
      <c r="AC30" s="32">
        <v>576762</v>
      </c>
      <c r="AD30" s="32">
        <v>742918</v>
      </c>
    </row>
    <row r="31" spans="1:31" ht="15" customHeight="1" x14ac:dyDescent="0.25">
      <c r="A31" s="125" t="s">
        <v>35</v>
      </c>
      <c r="B31" s="39">
        <v>668</v>
      </c>
      <c r="C31" s="39">
        <v>688</v>
      </c>
      <c r="D31" s="39">
        <v>283</v>
      </c>
      <c r="E31" s="39">
        <v>286</v>
      </c>
      <c r="F31" s="39">
        <v>654</v>
      </c>
      <c r="G31" s="39">
        <v>980</v>
      </c>
      <c r="H31" s="39">
        <v>1392</v>
      </c>
      <c r="I31" s="39">
        <v>1553</v>
      </c>
      <c r="J31" s="39">
        <v>1798</v>
      </c>
      <c r="K31" s="39">
        <v>836</v>
      </c>
      <c r="L31" s="39">
        <v>1811</v>
      </c>
      <c r="M31" s="39">
        <v>2411</v>
      </c>
      <c r="N31" s="39">
        <v>2640</v>
      </c>
      <c r="O31" s="39">
        <v>3215</v>
      </c>
      <c r="P31" s="39">
        <v>4156</v>
      </c>
      <c r="Q31" s="39">
        <v>4183</v>
      </c>
      <c r="R31" s="39">
        <v>6385</v>
      </c>
      <c r="S31" s="39">
        <v>6020</v>
      </c>
      <c r="T31" s="39">
        <v>4126</v>
      </c>
      <c r="U31" s="39">
        <v>960</v>
      </c>
      <c r="V31" s="39">
        <v>2250</v>
      </c>
      <c r="W31" s="39">
        <v>1773</v>
      </c>
      <c r="X31" s="39">
        <v>1945</v>
      </c>
      <c r="Y31" s="39">
        <v>2828</v>
      </c>
      <c r="Z31" s="39">
        <v>3059</v>
      </c>
      <c r="AA31" s="39">
        <v>2864</v>
      </c>
      <c r="AB31" s="39">
        <v>64731</v>
      </c>
      <c r="AC31" s="39">
        <v>60038</v>
      </c>
      <c r="AD31" s="39">
        <v>65759</v>
      </c>
    </row>
    <row r="32" spans="1:31" ht="15" customHeight="1" x14ac:dyDescent="0.25">
      <c r="A32" s="125" t="s">
        <v>15</v>
      </c>
      <c r="B32" s="39">
        <v>15365</v>
      </c>
      <c r="C32" s="39">
        <v>13288</v>
      </c>
      <c r="D32" s="39">
        <v>9455</v>
      </c>
      <c r="E32" s="39">
        <v>7133</v>
      </c>
      <c r="F32" s="39">
        <v>14454</v>
      </c>
      <c r="G32" s="39">
        <v>14969</v>
      </c>
      <c r="H32" s="39">
        <v>11898</v>
      </c>
      <c r="I32" s="39">
        <v>16341</v>
      </c>
      <c r="J32" s="39">
        <v>9997</v>
      </c>
      <c r="K32" s="39">
        <v>10403</v>
      </c>
      <c r="L32" s="39">
        <v>9346</v>
      </c>
      <c r="M32" s="39">
        <v>2510</v>
      </c>
      <c r="N32" s="39">
        <v>7725</v>
      </c>
      <c r="O32" s="39">
        <v>5794</v>
      </c>
      <c r="P32" s="39">
        <v>7065</v>
      </c>
      <c r="Q32" s="39">
        <v>2751</v>
      </c>
      <c r="R32" s="39">
        <v>3422</v>
      </c>
      <c r="S32" s="39">
        <v>3013</v>
      </c>
      <c r="T32" s="39">
        <v>2440</v>
      </c>
      <c r="U32" s="39">
        <v>276</v>
      </c>
      <c r="V32" s="39">
        <v>2626</v>
      </c>
      <c r="W32" s="39">
        <v>1201</v>
      </c>
      <c r="X32" s="39">
        <v>3105</v>
      </c>
      <c r="Y32" s="39">
        <v>489</v>
      </c>
      <c r="Z32" s="39">
        <v>6641</v>
      </c>
      <c r="AA32" s="39">
        <v>7450</v>
      </c>
      <c r="AB32" s="39">
        <v>3791</v>
      </c>
      <c r="AC32" s="39">
        <v>5602</v>
      </c>
      <c r="AD32" s="39">
        <v>13037</v>
      </c>
    </row>
    <row r="33" spans="1:30" ht="15" customHeight="1" x14ac:dyDescent="0.25">
      <c r="A33" s="125" t="s">
        <v>36</v>
      </c>
      <c r="B33" s="39">
        <v>7156</v>
      </c>
      <c r="C33" s="39">
        <v>6202</v>
      </c>
      <c r="D33" s="39">
        <v>6011</v>
      </c>
      <c r="E33" s="39">
        <v>6403</v>
      </c>
      <c r="F33" s="39">
        <v>7969</v>
      </c>
      <c r="G33" s="39">
        <f>9122+75276</f>
        <v>84398</v>
      </c>
      <c r="H33" s="39">
        <f>5706+145</f>
        <v>5851</v>
      </c>
      <c r="I33" s="39">
        <v>7943</v>
      </c>
      <c r="J33" s="39">
        <v>1499</v>
      </c>
      <c r="K33" s="39">
        <v>1747</v>
      </c>
      <c r="L33" s="39">
        <v>1055</v>
      </c>
      <c r="M33" s="39">
        <v>2498</v>
      </c>
      <c r="N33" s="39">
        <v>1018</v>
      </c>
      <c r="O33" s="39">
        <v>1599</v>
      </c>
      <c r="P33" s="39">
        <v>2030</v>
      </c>
      <c r="Q33" s="39">
        <v>2827</v>
      </c>
      <c r="R33" s="39">
        <v>3636</v>
      </c>
      <c r="S33" s="39">
        <v>2303</v>
      </c>
      <c r="T33" s="39">
        <v>159381</v>
      </c>
      <c r="U33" s="39">
        <v>167033</v>
      </c>
      <c r="V33" s="39">
        <v>2889</v>
      </c>
      <c r="W33" s="39">
        <v>2114</v>
      </c>
      <c r="X33" s="39">
        <v>3219</v>
      </c>
      <c r="Y33" s="39">
        <v>489</v>
      </c>
      <c r="Z33" s="39">
        <v>642</v>
      </c>
      <c r="AA33" s="39">
        <v>3481</v>
      </c>
      <c r="AB33" s="39">
        <v>255</v>
      </c>
      <c r="AC33" s="39">
        <v>0</v>
      </c>
      <c r="AD33" s="39">
        <v>219</v>
      </c>
    </row>
    <row r="34" spans="1:30" ht="15" customHeight="1" x14ac:dyDescent="0.25">
      <c r="A34" s="125" t="s">
        <v>37</v>
      </c>
      <c r="B34" s="39"/>
      <c r="C34" s="39"/>
      <c r="D34" s="39"/>
      <c r="E34" s="39"/>
      <c r="F34" s="39"/>
      <c r="G34" s="39"/>
      <c r="H34" s="39"/>
      <c r="I34" s="39"/>
      <c r="J34" s="39"/>
      <c r="K34" s="39"/>
      <c r="L34" s="39"/>
      <c r="M34" s="39"/>
      <c r="N34" s="39"/>
      <c r="O34" s="39">
        <v>49459</v>
      </c>
      <c r="P34" s="39">
        <v>47964</v>
      </c>
      <c r="Q34" s="39">
        <v>49367</v>
      </c>
      <c r="R34" s="39">
        <v>45853</v>
      </c>
      <c r="S34" s="39">
        <v>47288</v>
      </c>
      <c r="T34" s="39">
        <v>51414</v>
      </c>
      <c r="U34" s="39">
        <v>48691</v>
      </c>
      <c r="V34" s="39">
        <v>48388</v>
      </c>
      <c r="W34" s="39">
        <v>44501</v>
      </c>
      <c r="X34" s="39">
        <v>37243</v>
      </c>
      <c r="Y34" s="39">
        <v>31309</v>
      </c>
      <c r="Z34" s="39">
        <v>34066</v>
      </c>
      <c r="AA34" s="39">
        <v>31373</v>
      </c>
      <c r="AB34" s="39">
        <v>32110</v>
      </c>
      <c r="AC34" s="39">
        <v>30469</v>
      </c>
      <c r="AD34" s="39">
        <v>31003</v>
      </c>
    </row>
    <row r="35" spans="1:30" ht="15" customHeight="1" x14ac:dyDescent="0.25">
      <c r="A35" s="125" t="s">
        <v>16</v>
      </c>
      <c r="B35" s="39">
        <v>30463</v>
      </c>
      <c r="C35" s="39">
        <v>33861</v>
      </c>
      <c r="D35" s="39">
        <v>33880</v>
      </c>
      <c r="E35" s="39">
        <v>35844</v>
      </c>
      <c r="F35" s="39">
        <v>44831</v>
      </c>
      <c r="G35" s="39">
        <f>41414</f>
        <v>41414</v>
      </c>
      <c r="H35" s="39">
        <v>45606</v>
      </c>
      <c r="I35" s="39">
        <v>42713</v>
      </c>
      <c r="J35" s="39">
        <v>58783</v>
      </c>
      <c r="K35" s="39">
        <v>52342</v>
      </c>
      <c r="L35" s="39">
        <v>46947</v>
      </c>
      <c r="M35" s="39">
        <v>45233</v>
      </c>
      <c r="N35" s="39">
        <v>55592</v>
      </c>
      <c r="O35" s="39">
        <v>58192</v>
      </c>
      <c r="P35" s="39">
        <v>56929</v>
      </c>
      <c r="Q35" s="39">
        <v>48313</v>
      </c>
      <c r="R35" s="39">
        <v>50099</v>
      </c>
      <c r="S35" s="39">
        <v>49159</v>
      </c>
      <c r="T35" s="39">
        <v>44085</v>
      </c>
      <c r="U35" s="39">
        <v>45998</v>
      </c>
      <c r="V35" s="39">
        <v>58491</v>
      </c>
      <c r="W35" s="39">
        <v>56192</v>
      </c>
      <c r="X35" s="39">
        <v>54697</v>
      </c>
      <c r="Y35" s="39">
        <v>53249</v>
      </c>
      <c r="Z35" s="39">
        <v>60236</v>
      </c>
      <c r="AA35" s="39">
        <v>58780</v>
      </c>
      <c r="AB35" s="39">
        <v>50589</v>
      </c>
      <c r="AC35" s="39">
        <v>56894</v>
      </c>
      <c r="AD35" s="39">
        <v>58031</v>
      </c>
    </row>
    <row r="36" spans="1:30" ht="15" customHeight="1" x14ac:dyDescent="0.25">
      <c r="A36" s="125" t="s">
        <v>38</v>
      </c>
      <c r="B36" s="39">
        <v>42275</v>
      </c>
      <c r="C36" s="39">
        <v>41807</v>
      </c>
      <c r="D36" s="39">
        <v>46372</v>
      </c>
      <c r="E36" s="39">
        <v>42317</v>
      </c>
      <c r="F36" s="39">
        <v>55874</v>
      </c>
      <c r="G36" s="39">
        <v>53862</v>
      </c>
      <c r="H36" s="39">
        <v>64467</v>
      </c>
      <c r="I36" s="39">
        <v>59661</v>
      </c>
      <c r="J36" s="39">
        <v>66219</v>
      </c>
      <c r="K36" s="39">
        <v>65646</v>
      </c>
      <c r="L36" s="39">
        <v>65832</v>
      </c>
      <c r="M36" s="39">
        <v>53709</v>
      </c>
      <c r="N36" s="39">
        <v>65878</v>
      </c>
      <c r="O36" s="39">
        <v>63459</v>
      </c>
      <c r="P36" s="39">
        <v>68702</v>
      </c>
      <c r="Q36" s="39">
        <v>59824</v>
      </c>
      <c r="R36" s="39">
        <v>74781</v>
      </c>
      <c r="S36" s="39">
        <v>73251</v>
      </c>
      <c r="T36" s="39">
        <v>61963</v>
      </c>
      <c r="U36" s="39">
        <v>68709</v>
      </c>
      <c r="V36" s="39">
        <v>85272</v>
      </c>
      <c r="W36" s="39">
        <v>71450</v>
      </c>
      <c r="X36" s="39">
        <v>74491</v>
      </c>
      <c r="Y36" s="39">
        <v>72679</v>
      </c>
      <c r="Z36" s="39">
        <v>98136</v>
      </c>
      <c r="AA36" s="39">
        <v>93817</v>
      </c>
      <c r="AB36" s="39">
        <v>70435</v>
      </c>
      <c r="AC36" s="39">
        <v>72897</v>
      </c>
      <c r="AD36" s="39">
        <v>85569</v>
      </c>
    </row>
    <row r="37" spans="1:30" ht="15" customHeight="1" x14ac:dyDescent="0.25">
      <c r="A37" s="125" t="s">
        <v>39</v>
      </c>
      <c r="B37" s="41">
        <v>15531</v>
      </c>
      <c r="C37" s="41">
        <v>19413</v>
      </c>
      <c r="D37" s="41">
        <v>21531</v>
      </c>
      <c r="E37" s="41">
        <v>18383</v>
      </c>
      <c r="F37" s="41">
        <v>30221</v>
      </c>
      <c r="G37" s="41">
        <v>35032</v>
      </c>
      <c r="H37" s="41">
        <f>38051-145</f>
        <v>37906</v>
      </c>
      <c r="I37" s="41">
        <v>26802</v>
      </c>
      <c r="J37" s="41">
        <v>65677</v>
      </c>
      <c r="K37" s="41">
        <f>29847+4</f>
        <v>29851</v>
      </c>
      <c r="L37" s="41">
        <v>30803</v>
      </c>
      <c r="M37" s="41">
        <v>59463</v>
      </c>
      <c r="N37" s="41">
        <v>47115</v>
      </c>
      <c r="O37" s="41">
        <v>37256</v>
      </c>
      <c r="P37" s="41">
        <v>33986</v>
      </c>
      <c r="Q37" s="41">
        <v>38868</v>
      </c>
      <c r="R37" s="41">
        <v>35886</v>
      </c>
      <c r="S37" s="41">
        <v>35709</v>
      </c>
      <c r="T37" s="41">
        <v>38982</v>
      </c>
      <c r="U37" s="41">
        <v>43299</v>
      </c>
      <c r="V37" s="41">
        <v>33390</v>
      </c>
      <c r="W37" s="41">
        <v>32693</v>
      </c>
      <c r="X37" s="41">
        <v>40988</v>
      </c>
      <c r="Y37" s="41">
        <v>38818</v>
      </c>
      <c r="Z37" s="41">
        <v>39523</v>
      </c>
      <c r="AA37" s="41">
        <v>40149</v>
      </c>
      <c r="AB37" s="41">
        <v>44390</v>
      </c>
      <c r="AC37" s="41">
        <v>60810</v>
      </c>
      <c r="AD37" s="41">
        <v>83457</v>
      </c>
    </row>
    <row r="38" spans="1:30" ht="15" customHeight="1" x14ac:dyDescent="0.25">
      <c r="A38" s="128" t="s">
        <v>40</v>
      </c>
      <c r="B38" s="42">
        <f t="shared" ref="B38:J38" si="8">SUM(B30:B37)</f>
        <v>357840</v>
      </c>
      <c r="C38" s="42">
        <f t="shared" si="8"/>
        <v>356378</v>
      </c>
      <c r="D38" s="42">
        <f t="shared" si="8"/>
        <v>358289</v>
      </c>
      <c r="E38" s="42">
        <f t="shared" si="8"/>
        <v>364304</v>
      </c>
      <c r="F38" s="42">
        <f t="shared" si="8"/>
        <v>519791</v>
      </c>
      <c r="G38" s="42">
        <f t="shared" si="8"/>
        <v>526257</v>
      </c>
      <c r="H38" s="42">
        <f t="shared" si="8"/>
        <v>518528</v>
      </c>
      <c r="I38" s="42">
        <f t="shared" si="8"/>
        <v>505703</v>
      </c>
      <c r="J38" s="42">
        <f t="shared" si="8"/>
        <v>621005</v>
      </c>
      <c r="K38" s="42">
        <f>SUM(K30:K37)</f>
        <v>520121</v>
      </c>
      <c r="L38" s="42">
        <f>SUM(L30:L37)</f>
        <v>477089</v>
      </c>
      <c r="M38" s="42">
        <f>SUM(M30:M37)</f>
        <v>498212</v>
      </c>
      <c r="N38" s="42">
        <f t="shared" ref="N38" si="9">SUM(N30:N37)</f>
        <v>605344</v>
      </c>
      <c r="O38" s="42">
        <f>SUM(O30:O37)</f>
        <v>564897</v>
      </c>
      <c r="P38" s="42">
        <f>SUM(P30:P37)</f>
        <v>553567</v>
      </c>
      <c r="Q38" s="42">
        <f>SUM(Q30:Q37)</f>
        <v>528417</v>
      </c>
      <c r="R38" s="42">
        <v>610339</v>
      </c>
      <c r="S38" s="42">
        <f t="shared" ref="S38:X38" si="10">SUM(S30:S37)</f>
        <v>517058</v>
      </c>
      <c r="T38" s="42">
        <f t="shared" si="10"/>
        <v>643017</v>
      </c>
      <c r="U38" s="42">
        <f t="shared" si="10"/>
        <v>668446</v>
      </c>
      <c r="V38" s="42">
        <f t="shared" si="10"/>
        <v>600331</v>
      </c>
      <c r="W38" s="42">
        <f t="shared" si="10"/>
        <v>557133</v>
      </c>
      <c r="X38" s="42">
        <f t="shared" si="10"/>
        <v>556735</v>
      </c>
      <c r="Y38" s="42">
        <f t="shared" ref="Y38:Z38" si="11">SUM(Y30:Y37)</f>
        <v>549846</v>
      </c>
      <c r="Z38" s="42">
        <f t="shared" si="11"/>
        <v>672548</v>
      </c>
      <c r="AA38" s="42">
        <f>SUM(AA30:AA37)</f>
        <v>612515</v>
      </c>
      <c r="AB38" s="42">
        <f>SUM(AB30:AB37)</f>
        <v>666359</v>
      </c>
      <c r="AC38" s="42">
        <f>SUM(AC30:AC37)</f>
        <v>863472</v>
      </c>
      <c r="AD38" s="42">
        <f t="shared" ref="AD38" si="12">SUM(AD30:AD37)</f>
        <v>1079993</v>
      </c>
    </row>
    <row r="39" spans="1:30" ht="15" customHeight="1" x14ac:dyDescent="0.25">
      <c r="A39" s="2" t="s">
        <v>41</v>
      </c>
      <c r="B39" s="60">
        <v>139</v>
      </c>
      <c r="C39" s="60">
        <v>410</v>
      </c>
      <c r="D39" s="60">
        <v>518</v>
      </c>
      <c r="E39" s="60">
        <v>752</v>
      </c>
      <c r="F39" s="60">
        <v>686</v>
      </c>
      <c r="G39" s="60">
        <v>28900</v>
      </c>
      <c r="H39" s="60">
        <v>28088</v>
      </c>
      <c r="I39" s="60">
        <v>28719</v>
      </c>
      <c r="J39" s="60">
        <v>2497</v>
      </c>
      <c r="K39" s="60">
        <v>2552</v>
      </c>
      <c r="L39" s="60">
        <v>3251</v>
      </c>
      <c r="M39" s="60">
        <v>6438</v>
      </c>
      <c r="N39" s="60">
        <v>10770</v>
      </c>
      <c r="O39" s="60">
        <v>8421</v>
      </c>
      <c r="P39" s="60">
        <v>8489</v>
      </c>
      <c r="Q39" s="60">
        <v>8208</v>
      </c>
      <c r="R39" s="60">
        <v>9272</v>
      </c>
      <c r="S39" s="60">
        <v>7922</v>
      </c>
      <c r="T39" s="60">
        <v>8079</v>
      </c>
      <c r="U39" s="60">
        <v>8439</v>
      </c>
      <c r="V39" s="60">
        <v>5297</v>
      </c>
      <c r="W39" s="60">
        <v>4066</v>
      </c>
      <c r="X39" s="60">
        <v>4176</v>
      </c>
      <c r="Y39" s="60">
        <v>4138</v>
      </c>
      <c r="Z39" s="60">
        <v>3053</v>
      </c>
      <c r="AA39" s="60">
        <v>2942</v>
      </c>
      <c r="AB39" s="60">
        <v>2907</v>
      </c>
      <c r="AC39" s="60">
        <v>2842</v>
      </c>
      <c r="AD39" s="60">
        <v>3463</v>
      </c>
    </row>
    <row r="40" spans="1:30" ht="15" customHeight="1" x14ac:dyDescent="0.25">
      <c r="A40" s="2" t="s">
        <v>42</v>
      </c>
      <c r="B40" s="39">
        <v>1445</v>
      </c>
      <c r="C40" s="39">
        <v>1900</v>
      </c>
      <c r="D40" s="39">
        <v>1996</v>
      </c>
      <c r="E40" s="39">
        <v>2262</v>
      </c>
      <c r="F40" s="39">
        <v>3221</v>
      </c>
      <c r="G40" s="39">
        <v>3276</v>
      </c>
      <c r="H40" s="39">
        <v>3405</v>
      </c>
      <c r="I40" s="39">
        <v>3690</v>
      </c>
      <c r="J40" s="39">
        <v>5149</v>
      </c>
      <c r="K40" s="39">
        <v>5748</v>
      </c>
      <c r="L40" s="39">
        <v>5472</v>
      </c>
      <c r="M40" s="39">
        <v>5942</v>
      </c>
      <c r="N40" s="39">
        <v>5537</v>
      </c>
      <c r="O40" s="39">
        <v>6893</v>
      </c>
      <c r="P40" s="39">
        <v>8002</v>
      </c>
      <c r="Q40" s="39">
        <v>8740</v>
      </c>
      <c r="R40" s="39">
        <v>8485</v>
      </c>
      <c r="S40" s="39">
        <v>7111</v>
      </c>
      <c r="T40" s="39">
        <v>9215</v>
      </c>
      <c r="U40" s="39">
        <v>10634</v>
      </c>
      <c r="V40" s="39">
        <v>6167</v>
      </c>
      <c r="W40" s="39">
        <v>5621</v>
      </c>
      <c r="X40" s="39">
        <v>6014</v>
      </c>
      <c r="Y40" s="39">
        <v>6167</v>
      </c>
      <c r="Z40" s="39">
        <v>5531</v>
      </c>
      <c r="AA40" s="39">
        <v>4638</v>
      </c>
      <c r="AB40" s="39">
        <v>3213</v>
      </c>
      <c r="AC40" s="39">
        <v>2836</v>
      </c>
      <c r="AD40" s="39">
        <v>3708</v>
      </c>
    </row>
    <row r="41" spans="1:30" ht="15" customHeight="1" x14ac:dyDescent="0.25">
      <c r="A41" s="2" t="s">
        <v>43</v>
      </c>
      <c r="B41" s="39">
        <v>3272</v>
      </c>
      <c r="C41" s="39">
        <v>3201</v>
      </c>
      <c r="D41" s="39">
        <v>2907</v>
      </c>
      <c r="E41" s="39">
        <v>2933</v>
      </c>
      <c r="F41" s="39">
        <v>77611</v>
      </c>
      <c r="G41" s="39">
        <f>77896-75276</f>
        <v>2620</v>
      </c>
      <c r="H41" s="39">
        <v>2621</v>
      </c>
      <c r="I41" s="39">
        <v>2525</v>
      </c>
      <c r="J41" s="39">
        <v>2158</v>
      </c>
      <c r="K41" s="39">
        <v>2022</v>
      </c>
      <c r="L41" s="39">
        <v>1758</v>
      </c>
      <c r="M41" s="39">
        <v>2766</v>
      </c>
      <c r="N41" s="39">
        <v>2490</v>
      </c>
      <c r="O41" s="39">
        <v>2283</v>
      </c>
      <c r="P41" s="39">
        <v>2051</v>
      </c>
      <c r="Q41" s="39">
        <v>937</v>
      </c>
      <c r="R41" s="39">
        <v>769</v>
      </c>
      <c r="S41" s="39">
        <v>555</v>
      </c>
      <c r="T41" s="39">
        <v>44</v>
      </c>
      <c r="U41" s="39">
        <v>44</v>
      </c>
      <c r="V41" s="39">
        <v>386</v>
      </c>
      <c r="W41" s="39">
        <v>371</v>
      </c>
      <c r="X41" s="39">
        <v>375</v>
      </c>
      <c r="Y41" s="39">
        <v>367</v>
      </c>
      <c r="Z41" s="39">
        <v>360</v>
      </c>
      <c r="AA41" s="39">
        <v>354</v>
      </c>
      <c r="AB41" s="39">
        <v>334</v>
      </c>
      <c r="AC41" s="39">
        <v>270</v>
      </c>
      <c r="AD41" s="39">
        <v>74</v>
      </c>
    </row>
    <row r="42" spans="1:30" ht="15" customHeight="1" x14ac:dyDescent="0.25">
      <c r="A42" s="2" t="s">
        <v>44</v>
      </c>
      <c r="B42" s="39"/>
      <c r="C42" s="39"/>
      <c r="D42" s="39"/>
      <c r="E42" s="39"/>
      <c r="F42" s="39"/>
      <c r="G42" s="39"/>
      <c r="H42" s="39"/>
      <c r="I42" s="39"/>
      <c r="J42" s="39"/>
      <c r="K42" s="39"/>
      <c r="L42" s="39"/>
      <c r="M42" s="39"/>
      <c r="N42" s="39"/>
      <c r="O42" s="39">
        <v>166920</v>
      </c>
      <c r="P42" s="39">
        <v>148170</v>
      </c>
      <c r="Q42" s="39">
        <v>135841</v>
      </c>
      <c r="R42" s="39">
        <v>117988</v>
      </c>
      <c r="S42" s="39">
        <v>113920</v>
      </c>
      <c r="T42" s="39">
        <v>105794</v>
      </c>
      <c r="U42" s="39">
        <v>90560</v>
      </c>
      <c r="V42" s="39">
        <v>83007</v>
      </c>
      <c r="W42" s="39">
        <v>61874</v>
      </c>
      <c r="X42" s="39">
        <v>103888</v>
      </c>
      <c r="Y42" s="39">
        <v>92859</v>
      </c>
      <c r="Z42" s="39">
        <v>93893</v>
      </c>
      <c r="AA42" s="39">
        <v>84692</v>
      </c>
      <c r="AB42" s="39">
        <v>82984</v>
      </c>
      <c r="AC42" s="39">
        <v>77901</v>
      </c>
      <c r="AD42" s="39">
        <v>77536</v>
      </c>
    </row>
    <row r="43" spans="1:30" ht="15" customHeight="1" x14ac:dyDescent="0.25">
      <c r="A43" s="2" t="s">
        <v>45</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v>33788</v>
      </c>
    </row>
    <row r="44" spans="1:30" ht="15" customHeight="1" x14ac:dyDescent="0.25">
      <c r="A44" s="129" t="s">
        <v>46</v>
      </c>
      <c r="B44" s="39">
        <v>0</v>
      </c>
      <c r="C44" s="39">
        <v>0</v>
      </c>
      <c r="D44" s="39">
        <v>0</v>
      </c>
      <c r="E44" s="39">
        <v>0</v>
      </c>
      <c r="F44" s="39">
        <v>0</v>
      </c>
      <c r="G44" s="39">
        <v>4697</v>
      </c>
      <c r="H44" s="39">
        <v>2824</v>
      </c>
      <c r="I44" s="39">
        <v>4290</v>
      </c>
      <c r="J44" s="39">
        <f>2793</f>
        <v>2793</v>
      </c>
      <c r="K44" s="39">
        <v>5246</v>
      </c>
      <c r="L44" s="39">
        <v>4104</v>
      </c>
      <c r="M44" s="39">
        <v>3669</v>
      </c>
      <c r="N44" s="39">
        <v>5103</v>
      </c>
      <c r="O44" s="39">
        <v>4706</v>
      </c>
      <c r="P44" s="39">
        <v>4327</v>
      </c>
      <c r="Q44" s="39">
        <v>5340</v>
      </c>
      <c r="R44" s="39">
        <v>5543</v>
      </c>
      <c r="S44" s="39">
        <v>2715</v>
      </c>
      <c r="T44" s="39">
        <v>3256</v>
      </c>
      <c r="U44" s="39">
        <v>3333</v>
      </c>
      <c r="V44" s="39">
        <v>5535</v>
      </c>
      <c r="W44" s="39">
        <v>9807</v>
      </c>
      <c r="X44" s="39">
        <v>13185</v>
      </c>
      <c r="Y44" s="39">
        <v>9864</v>
      </c>
      <c r="Z44" s="39">
        <v>9886</v>
      </c>
      <c r="AA44" s="39">
        <v>7676</v>
      </c>
      <c r="AB44" s="39">
        <v>4859</v>
      </c>
      <c r="AC44" s="39">
        <v>98349</v>
      </c>
      <c r="AD44" s="39">
        <v>69226</v>
      </c>
    </row>
    <row r="45" spans="1:30" ht="15" customHeight="1" x14ac:dyDescent="0.25">
      <c r="A45" s="130" t="s">
        <v>47</v>
      </c>
      <c r="B45" s="42">
        <f t="shared" ref="B45:E45" si="13">SUM(B39:B44)</f>
        <v>4856</v>
      </c>
      <c r="C45" s="42">
        <f t="shared" si="13"/>
        <v>5511</v>
      </c>
      <c r="D45" s="42">
        <f t="shared" si="13"/>
        <v>5421</v>
      </c>
      <c r="E45" s="42">
        <f t="shared" si="13"/>
        <v>5947</v>
      </c>
      <c r="F45" s="42">
        <f>SUM(F39:F44)</f>
        <v>81518</v>
      </c>
      <c r="G45" s="42">
        <f>SUM(G39:G44)</f>
        <v>39493</v>
      </c>
      <c r="H45" s="42">
        <f>SUM(H39:H44)</f>
        <v>36938</v>
      </c>
      <c r="I45" s="42">
        <v>39224</v>
      </c>
      <c r="J45" s="42">
        <f t="shared" ref="J45:O45" si="14">SUM(J39:J44)</f>
        <v>12597</v>
      </c>
      <c r="K45" s="42">
        <f t="shared" si="14"/>
        <v>15568</v>
      </c>
      <c r="L45" s="42">
        <f t="shared" si="14"/>
        <v>14585</v>
      </c>
      <c r="M45" s="42">
        <f t="shared" si="14"/>
        <v>18815</v>
      </c>
      <c r="N45" s="42">
        <f t="shared" si="14"/>
        <v>23900</v>
      </c>
      <c r="O45" s="42">
        <f t="shared" si="14"/>
        <v>189223</v>
      </c>
      <c r="P45" s="42">
        <f t="shared" ref="P45:S45" si="15">SUM(P39:P44)</f>
        <v>171039</v>
      </c>
      <c r="Q45" s="42">
        <f t="shared" si="15"/>
        <v>159066</v>
      </c>
      <c r="R45" s="42">
        <f t="shared" si="15"/>
        <v>142057</v>
      </c>
      <c r="S45" s="42">
        <f t="shared" si="15"/>
        <v>132223</v>
      </c>
      <c r="T45" s="42">
        <f t="shared" ref="T45:W45" si="16">SUM(T39:T44)</f>
        <v>126388</v>
      </c>
      <c r="U45" s="42">
        <f t="shared" si="16"/>
        <v>113010</v>
      </c>
      <c r="V45" s="42">
        <f t="shared" si="16"/>
        <v>100392</v>
      </c>
      <c r="W45" s="42">
        <f t="shared" si="16"/>
        <v>81739</v>
      </c>
      <c r="X45" s="42">
        <f t="shared" ref="X45:Y45" si="17">SUM(X39:X44)</f>
        <v>127638</v>
      </c>
      <c r="Y45" s="42">
        <f t="shared" si="17"/>
        <v>113395</v>
      </c>
      <c r="Z45" s="42">
        <f t="shared" ref="Z45" si="18">SUM(Z39:Z44)</f>
        <v>112723</v>
      </c>
      <c r="AA45" s="42">
        <f>SUM(AA39:AA44)</f>
        <v>100302</v>
      </c>
      <c r="AB45" s="42">
        <f>SUM(AB39:AB44)</f>
        <v>94297</v>
      </c>
      <c r="AC45" s="42">
        <f>SUM(AC39:AC44)</f>
        <v>182198</v>
      </c>
      <c r="AD45" s="42">
        <f t="shared" ref="AD45" si="19">SUM(AD39:AD44)</f>
        <v>187795</v>
      </c>
    </row>
    <row r="46" spans="1:30" ht="15" customHeight="1" x14ac:dyDescent="0.25">
      <c r="A46" s="126" t="s">
        <v>48</v>
      </c>
      <c r="B46" s="42">
        <f t="shared" ref="B46:E46" si="20">SUM(B38,B45)</f>
        <v>362696</v>
      </c>
      <c r="C46" s="42">
        <f t="shared" si="20"/>
        <v>361889</v>
      </c>
      <c r="D46" s="42">
        <f t="shared" si="20"/>
        <v>363710</v>
      </c>
      <c r="E46" s="42">
        <f t="shared" si="20"/>
        <v>370251</v>
      </c>
      <c r="F46" s="42">
        <f>SUM(F38,F45)</f>
        <v>601309</v>
      </c>
      <c r="G46" s="42">
        <f>SUM(G38,G45)</f>
        <v>565750</v>
      </c>
      <c r="H46" s="42">
        <f>SUM(H38,H45)</f>
        <v>555466</v>
      </c>
      <c r="I46" s="42">
        <v>544927</v>
      </c>
      <c r="J46" s="42">
        <f t="shared" ref="J46:O46" si="21">SUM(J38,J45)</f>
        <v>633602</v>
      </c>
      <c r="K46" s="42">
        <f t="shared" si="21"/>
        <v>535689</v>
      </c>
      <c r="L46" s="42">
        <f t="shared" si="21"/>
        <v>491674</v>
      </c>
      <c r="M46" s="42">
        <f t="shared" si="21"/>
        <v>517027</v>
      </c>
      <c r="N46" s="42">
        <f t="shared" si="21"/>
        <v>629244</v>
      </c>
      <c r="O46" s="42">
        <f t="shared" si="21"/>
        <v>754120</v>
      </c>
      <c r="P46" s="42">
        <f t="shared" ref="P46:S46" si="22">SUM(P38,P45)</f>
        <v>724606</v>
      </c>
      <c r="Q46" s="42">
        <f t="shared" si="22"/>
        <v>687483</v>
      </c>
      <c r="R46" s="42">
        <f t="shared" si="22"/>
        <v>752396</v>
      </c>
      <c r="S46" s="42">
        <f t="shared" si="22"/>
        <v>649281</v>
      </c>
      <c r="T46" s="42">
        <f t="shared" ref="T46:W46" si="23">SUM(T38,T45)</f>
        <v>769405</v>
      </c>
      <c r="U46" s="42">
        <f t="shared" si="23"/>
        <v>781456</v>
      </c>
      <c r="V46" s="42">
        <f t="shared" si="23"/>
        <v>700723</v>
      </c>
      <c r="W46" s="42">
        <f t="shared" si="23"/>
        <v>638872</v>
      </c>
      <c r="X46" s="42">
        <f t="shared" ref="X46:Y46" si="24">SUM(X38,X45)</f>
        <v>684373</v>
      </c>
      <c r="Y46" s="42">
        <f t="shared" si="24"/>
        <v>663241</v>
      </c>
      <c r="Z46" s="42">
        <f t="shared" ref="Z46" si="25">SUM(Z38,Z45)</f>
        <v>785271</v>
      </c>
      <c r="AA46" s="42">
        <f>SUM(AA38,AA45)</f>
        <v>712817</v>
      </c>
      <c r="AB46" s="42">
        <f>SUM(AB38,AB45)</f>
        <v>760656</v>
      </c>
      <c r="AC46" s="42">
        <f>SUM(AC38,AC45)</f>
        <v>1045670</v>
      </c>
      <c r="AD46" s="42">
        <f t="shared" ref="AD46" si="26">SUM(AD38,AD45)</f>
        <v>1267788</v>
      </c>
    </row>
    <row r="47" spans="1:30" ht="15" customHeight="1" x14ac:dyDescent="0.25">
      <c r="A47" s="2" t="s">
        <v>49</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row>
    <row r="48" spans="1:30" ht="15" customHeight="1" x14ac:dyDescent="0.25">
      <c r="A48" s="2" t="s">
        <v>50</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x14ac:dyDescent="0.25">
      <c r="A49" s="2" t="s">
        <v>51</v>
      </c>
      <c r="B49" s="39">
        <v>2052</v>
      </c>
      <c r="C49" s="39">
        <v>2063</v>
      </c>
      <c r="D49" s="39">
        <v>2082</v>
      </c>
      <c r="E49" s="39">
        <v>2087</v>
      </c>
      <c r="F49" s="39">
        <v>2093</v>
      </c>
      <c r="G49" s="39">
        <v>2112</v>
      </c>
      <c r="H49" s="39">
        <v>2128</v>
      </c>
      <c r="I49" s="39">
        <v>2137</v>
      </c>
      <c r="J49" s="39">
        <v>2152</v>
      </c>
      <c r="K49" s="39">
        <v>2157</v>
      </c>
      <c r="L49" s="39">
        <v>2177</v>
      </c>
      <c r="M49" s="39">
        <v>2182</v>
      </c>
      <c r="N49" s="39">
        <v>2201</v>
      </c>
      <c r="O49" s="39">
        <v>2157</v>
      </c>
      <c r="P49" s="39">
        <v>2157</v>
      </c>
      <c r="Q49" s="39">
        <v>2157</v>
      </c>
      <c r="R49" s="39">
        <v>2158</v>
      </c>
      <c r="S49" s="39">
        <v>2158</v>
      </c>
      <c r="T49" s="39">
        <v>2158</v>
      </c>
      <c r="U49" s="39">
        <v>2155</v>
      </c>
      <c r="V49" s="39">
        <v>2161</v>
      </c>
      <c r="W49" s="39">
        <v>2164</v>
      </c>
      <c r="X49" s="39">
        <v>2173</v>
      </c>
      <c r="Y49" s="39">
        <v>2162</v>
      </c>
      <c r="Z49" s="39">
        <v>2149</v>
      </c>
      <c r="AA49" s="39">
        <v>2150</v>
      </c>
      <c r="AB49" s="39">
        <v>2147</v>
      </c>
      <c r="AC49" s="39">
        <v>2125</v>
      </c>
      <c r="AD49" s="39">
        <v>2079</v>
      </c>
    </row>
    <row r="50" spans="1:30" x14ac:dyDescent="0.25">
      <c r="A50" s="2" t="s">
        <v>52</v>
      </c>
      <c r="B50" s="39"/>
      <c r="C50" s="39"/>
      <c r="D50" s="39"/>
      <c r="E50" s="39"/>
      <c r="F50" s="39"/>
      <c r="G50" s="39"/>
      <c r="H50" s="39"/>
      <c r="I50" s="39"/>
      <c r="J50" s="39"/>
      <c r="K50" s="39"/>
      <c r="L50" s="39"/>
      <c r="M50" s="39"/>
      <c r="N50" s="39">
        <v>-79159</v>
      </c>
      <c r="O50" s="39">
        <v>-39079</v>
      </c>
      <c r="P50" s="39">
        <v>-26564</v>
      </c>
      <c r="Q50" s="39">
        <v>-38774</v>
      </c>
      <c r="R50" s="39">
        <v>-74900</v>
      </c>
      <c r="S50" s="39">
        <v>-79834</v>
      </c>
      <c r="T50" s="39">
        <v>-90714</v>
      </c>
      <c r="U50" s="39">
        <v>-92450</v>
      </c>
      <c r="V50" s="39">
        <v>-85570</v>
      </c>
      <c r="W50" s="39">
        <v>-87263</v>
      </c>
      <c r="X50" s="39">
        <v>-111823</v>
      </c>
      <c r="Y50" s="39">
        <v>-122390</v>
      </c>
      <c r="Z50" s="39">
        <v>-131560</v>
      </c>
      <c r="AA50" s="39">
        <v>-137330</v>
      </c>
      <c r="AB50" s="39">
        <v>-148509</v>
      </c>
      <c r="AC50" s="39">
        <f>-165529+12640</f>
        <v>-152889</v>
      </c>
      <c r="AD50" s="39">
        <v>-174293</v>
      </c>
    </row>
    <row r="51" spans="1:30" ht="15" customHeight="1" x14ac:dyDescent="0.25">
      <c r="A51" s="2" t="s">
        <v>53</v>
      </c>
      <c r="B51" s="39">
        <v>425220</v>
      </c>
      <c r="C51" s="39">
        <v>438945</v>
      </c>
      <c r="D51" s="39">
        <v>456242</v>
      </c>
      <c r="E51" s="39">
        <v>470871</v>
      </c>
      <c r="F51" s="39">
        <v>488277</v>
      </c>
      <c r="G51" s="39">
        <v>514649</v>
      </c>
      <c r="H51" s="39">
        <v>540998</v>
      </c>
      <c r="I51" s="39">
        <v>568171</v>
      </c>
      <c r="J51" s="39">
        <v>591404</v>
      </c>
      <c r="K51" s="39">
        <v>610281</v>
      </c>
      <c r="L51" s="39">
        <v>630772</v>
      </c>
      <c r="M51" s="39">
        <v>648139</v>
      </c>
      <c r="N51" s="39">
        <v>663281</v>
      </c>
      <c r="O51" s="39">
        <v>641094</v>
      </c>
      <c r="P51" s="39">
        <v>652572</v>
      </c>
      <c r="Q51" s="39">
        <v>663439</v>
      </c>
      <c r="R51" s="39">
        <v>668389</v>
      </c>
      <c r="S51" s="39">
        <v>676510</v>
      </c>
      <c r="T51" s="39">
        <v>683288</v>
      </c>
      <c r="U51" s="39">
        <v>685841</v>
      </c>
      <c r="V51" s="39">
        <v>693164</v>
      </c>
      <c r="W51" s="39">
        <v>702022</v>
      </c>
      <c r="X51" s="39">
        <v>720762</v>
      </c>
      <c r="Y51" s="39">
        <v>727613</v>
      </c>
      <c r="Z51" s="39">
        <v>731248</v>
      </c>
      <c r="AA51" s="39">
        <v>740515</v>
      </c>
      <c r="AB51" s="39">
        <v>750774</v>
      </c>
      <c r="AC51" s="39">
        <v>760666</v>
      </c>
      <c r="AD51" s="39">
        <v>734492</v>
      </c>
    </row>
    <row r="52" spans="1:30" ht="15" customHeight="1" x14ac:dyDescent="0.25">
      <c r="A52" s="2" t="s">
        <v>54</v>
      </c>
      <c r="B52" s="39">
        <v>-69023</v>
      </c>
      <c r="C52" s="39">
        <v>-48904</v>
      </c>
      <c r="D52" s="39">
        <v>-60329</v>
      </c>
      <c r="E52" s="39">
        <v>-57902</v>
      </c>
      <c r="F52" s="39">
        <v>-88593</v>
      </c>
      <c r="G52" s="39">
        <v>-79742</v>
      </c>
      <c r="H52" s="39">
        <v>-42615</v>
      </c>
      <c r="I52" s="39">
        <v>-21386</v>
      </c>
      <c r="J52" s="39">
        <v>-12241</v>
      </c>
      <c r="K52" s="39">
        <v>12710</v>
      </c>
      <c r="L52" s="39">
        <v>-20722</v>
      </c>
      <c r="M52" s="39">
        <v>-25788</v>
      </c>
      <c r="N52" s="39">
        <v>-30522</v>
      </c>
      <c r="O52" s="39">
        <v>-41869</v>
      </c>
      <c r="P52" s="39">
        <v>-33293</v>
      </c>
      <c r="Q52" s="39">
        <v>-58382</v>
      </c>
      <c r="R52" s="39">
        <v>-40105</v>
      </c>
      <c r="S52" s="39">
        <v>-54283</v>
      </c>
      <c r="T52" s="39">
        <v>-44297</v>
      </c>
      <c r="U52" s="39">
        <v>-19658</v>
      </c>
      <c r="V52" s="39">
        <v>16028</v>
      </c>
      <c r="W52" s="39">
        <v>-17825</v>
      </c>
      <c r="X52" s="39">
        <v>-7438</v>
      </c>
      <c r="Y52" s="39">
        <v>-25349</v>
      </c>
      <c r="Z52" s="39">
        <v>-40294</v>
      </c>
      <c r="AA52" s="39">
        <v>-56501</v>
      </c>
      <c r="AB52" s="39">
        <v>-102931</v>
      </c>
      <c r="AC52" s="39">
        <v>-131651</v>
      </c>
      <c r="AD52" s="39">
        <f>-91890+2</f>
        <v>-91888</v>
      </c>
    </row>
    <row r="53" spans="1:30" ht="15" customHeight="1" x14ac:dyDescent="0.25">
      <c r="A53" s="2" t="s">
        <v>55</v>
      </c>
      <c r="B53" s="41">
        <v>116076</v>
      </c>
      <c r="C53" s="41">
        <v>133206</v>
      </c>
      <c r="D53" s="41">
        <v>145407</v>
      </c>
      <c r="E53" s="41">
        <v>158945</v>
      </c>
      <c r="F53" s="41">
        <v>198355</v>
      </c>
      <c r="G53" s="41">
        <v>222239</v>
      </c>
      <c r="H53" s="41">
        <v>228141</v>
      </c>
      <c r="I53" s="41">
        <v>247821</v>
      </c>
      <c r="J53" s="41">
        <v>300210</v>
      </c>
      <c r="K53" s="41">
        <v>320020</v>
      </c>
      <c r="L53" s="41">
        <v>333725</v>
      </c>
      <c r="M53" s="41">
        <v>355003</v>
      </c>
      <c r="N53" s="41">
        <v>387869</v>
      </c>
      <c r="O53" s="41">
        <v>403200</v>
      </c>
      <c r="P53" s="41">
        <v>401209</v>
      </c>
      <c r="Q53" s="41">
        <v>414594</v>
      </c>
      <c r="R53" s="41">
        <v>451725</v>
      </c>
      <c r="S53" s="41">
        <v>450480</v>
      </c>
      <c r="T53" s="41">
        <v>452247</v>
      </c>
      <c r="U53" s="41">
        <v>452932</v>
      </c>
      <c r="V53" s="41">
        <v>491359</v>
      </c>
      <c r="W53" s="41">
        <v>510528</v>
      </c>
      <c r="X53" s="41">
        <v>519893</v>
      </c>
      <c r="Y53" s="41">
        <v>534320</v>
      </c>
      <c r="Z53" s="41">
        <v>601588</v>
      </c>
      <c r="AA53" s="41">
        <v>619641</v>
      </c>
      <c r="AB53" s="41">
        <v>577552</v>
      </c>
      <c r="AC53" s="41">
        <f>581858-12640</f>
        <v>569218</v>
      </c>
      <c r="AD53" s="41">
        <f>577653-2</f>
        <v>577651</v>
      </c>
    </row>
    <row r="54" spans="1:30" ht="13.35" customHeight="1" x14ac:dyDescent="0.25">
      <c r="A54" s="126" t="s">
        <v>56</v>
      </c>
      <c r="B54" s="42">
        <f t="shared" ref="B54:E54" si="27">SUM(B49:B53)</f>
        <v>474325</v>
      </c>
      <c r="C54" s="42">
        <f t="shared" si="27"/>
        <v>525310</v>
      </c>
      <c r="D54" s="42">
        <f t="shared" si="27"/>
        <v>543402</v>
      </c>
      <c r="E54" s="42">
        <f t="shared" si="27"/>
        <v>574001</v>
      </c>
      <c r="F54" s="42">
        <f>SUM(F49:F53)</f>
        <v>600132</v>
      </c>
      <c r="G54" s="42">
        <f>SUM(G49:G53)</f>
        <v>659258</v>
      </c>
      <c r="H54" s="42">
        <f>SUM(H49:H53)</f>
        <v>728652</v>
      </c>
      <c r="I54" s="42">
        <v>796743</v>
      </c>
      <c r="J54" s="42">
        <f t="shared" ref="J54:R54" si="28">SUM(J49:J53)</f>
        <v>881525</v>
      </c>
      <c r="K54" s="42">
        <f t="shared" si="28"/>
        <v>945168</v>
      </c>
      <c r="L54" s="42">
        <f t="shared" si="28"/>
        <v>945952</v>
      </c>
      <c r="M54" s="42">
        <f t="shared" si="28"/>
        <v>979536</v>
      </c>
      <c r="N54" s="42">
        <f t="shared" si="28"/>
        <v>943670</v>
      </c>
      <c r="O54" s="42">
        <f t="shared" si="28"/>
        <v>965503</v>
      </c>
      <c r="P54" s="42">
        <f t="shared" si="28"/>
        <v>996081</v>
      </c>
      <c r="Q54" s="42">
        <f t="shared" si="28"/>
        <v>983034</v>
      </c>
      <c r="R54" s="42">
        <f t="shared" si="28"/>
        <v>1007267</v>
      </c>
      <c r="S54" s="42">
        <f t="shared" ref="S54:V54" si="29">SUM(S49:S53)</f>
        <v>995031</v>
      </c>
      <c r="T54" s="42">
        <f t="shared" si="29"/>
        <v>1002682</v>
      </c>
      <c r="U54" s="42">
        <f t="shared" si="29"/>
        <v>1028820</v>
      </c>
      <c r="V54" s="42">
        <f t="shared" si="29"/>
        <v>1117142</v>
      </c>
      <c r="W54" s="42">
        <f t="shared" ref="W54:Y54" si="30">SUM(W49:W53)</f>
        <v>1109626</v>
      </c>
      <c r="X54" s="42">
        <f t="shared" si="30"/>
        <v>1123567</v>
      </c>
      <c r="Y54" s="42">
        <f t="shared" si="30"/>
        <v>1116356</v>
      </c>
      <c r="Z54" s="42">
        <f t="shared" ref="Z54" si="31">SUM(Z49:Z53)</f>
        <v>1163131</v>
      </c>
      <c r="AA54" s="42">
        <f>SUM(AA49:AA53)</f>
        <v>1168475</v>
      </c>
      <c r="AB54" s="42">
        <f>SUM(AB49:AB53)</f>
        <v>1079033</v>
      </c>
      <c r="AC54" s="42">
        <f>SUM(AC49:AC53)</f>
        <v>1047469</v>
      </c>
      <c r="AD54" s="42">
        <f t="shared" ref="AD54" si="32">SUM(AD49:AD53)</f>
        <v>1048041</v>
      </c>
    </row>
    <row r="55" spans="1:30" ht="15" customHeight="1" x14ac:dyDescent="0.25">
      <c r="A55" s="2" t="s">
        <v>57</v>
      </c>
      <c r="B55" s="43">
        <v>4698</v>
      </c>
      <c r="C55" s="43">
        <v>6514</v>
      </c>
      <c r="D55" s="43">
        <v>8304</v>
      </c>
      <c r="E55" s="43">
        <v>9713</v>
      </c>
      <c r="F55" s="43">
        <v>9745</v>
      </c>
      <c r="G55" s="43">
        <v>12381</v>
      </c>
      <c r="H55" s="43">
        <v>14027</v>
      </c>
      <c r="I55" s="43">
        <v>16524</v>
      </c>
      <c r="J55" s="43">
        <v>16173</v>
      </c>
      <c r="K55" s="43">
        <v>18503</v>
      </c>
      <c r="L55" s="43">
        <v>18916</v>
      </c>
      <c r="M55" s="43">
        <v>19380</v>
      </c>
      <c r="N55" s="43">
        <v>24221</v>
      </c>
      <c r="O55" s="43">
        <v>26293</v>
      </c>
      <c r="P55" s="43">
        <v>28882</v>
      </c>
      <c r="Q55" s="43">
        <v>31371</v>
      </c>
      <c r="R55" s="43">
        <v>30721</v>
      </c>
      <c r="S55" s="43">
        <v>31577</v>
      </c>
      <c r="T55" s="43">
        <v>32315</v>
      </c>
      <c r="U55" s="43">
        <v>33092</v>
      </c>
      <c r="V55" s="43">
        <v>35545</v>
      </c>
      <c r="W55" s="43">
        <v>34137</v>
      </c>
      <c r="X55" s="43">
        <v>34502</v>
      </c>
      <c r="Y55" s="43">
        <v>34896</v>
      </c>
      <c r="Z55" s="43">
        <v>35189</v>
      </c>
      <c r="AA55" s="43">
        <v>34048</v>
      </c>
      <c r="AB55" s="43">
        <v>31155</v>
      </c>
      <c r="AC55" s="43">
        <v>29431</v>
      </c>
      <c r="AD55" s="43">
        <v>33065</v>
      </c>
    </row>
    <row r="56" spans="1:30" ht="15" customHeight="1" x14ac:dyDescent="0.25">
      <c r="A56" s="130" t="s">
        <v>58</v>
      </c>
      <c r="B56" s="42">
        <f t="shared" ref="B56:E56" si="33">+B55+B54</f>
        <v>479023</v>
      </c>
      <c r="C56" s="42">
        <f t="shared" si="33"/>
        <v>531824</v>
      </c>
      <c r="D56" s="42">
        <f t="shared" si="33"/>
        <v>551706</v>
      </c>
      <c r="E56" s="42">
        <f t="shared" si="33"/>
        <v>583714</v>
      </c>
      <c r="F56" s="42">
        <f t="shared" ref="F56:J56" si="34">+F55+F54</f>
        <v>609877</v>
      </c>
      <c r="G56" s="42">
        <f>SUM(G54:G55)</f>
        <v>671639</v>
      </c>
      <c r="H56" s="42">
        <f>SUM(H54:H55)</f>
        <v>742679</v>
      </c>
      <c r="I56" s="42">
        <v>813267</v>
      </c>
      <c r="J56" s="42">
        <f t="shared" si="34"/>
        <v>897698</v>
      </c>
      <c r="K56" s="42">
        <f>+K55+K54</f>
        <v>963671</v>
      </c>
      <c r="L56" s="42">
        <f>+L55+L54</f>
        <v>964868</v>
      </c>
      <c r="M56" s="42">
        <f>+M55+M54</f>
        <v>998916</v>
      </c>
      <c r="N56" s="42">
        <f t="shared" ref="N56" si="35">+N55+N54</f>
        <v>967891</v>
      </c>
      <c r="O56" s="42">
        <f>+O55+O54</f>
        <v>991796</v>
      </c>
      <c r="P56" s="42">
        <f>+P55+P54</f>
        <v>1024963</v>
      </c>
      <c r="Q56" s="42">
        <f>+Q55+Q54</f>
        <v>1014405</v>
      </c>
      <c r="R56" s="42">
        <f t="shared" ref="R56" si="36">+R55+R54</f>
        <v>1037988</v>
      </c>
      <c r="S56" s="42">
        <f>+S55+S54</f>
        <v>1026608</v>
      </c>
      <c r="T56" s="42">
        <f>+T55+T54</f>
        <v>1034997</v>
      </c>
      <c r="U56" s="42">
        <f>+U55+U54</f>
        <v>1061912</v>
      </c>
      <c r="V56" s="42">
        <f t="shared" ref="V56" si="37">+V55+V54</f>
        <v>1152687</v>
      </c>
      <c r="W56" s="42">
        <f t="shared" ref="W56:AA56" si="38">+W55+W54</f>
        <v>1143763</v>
      </c>
      <c r="X56" s="42">
        <f t="shared" si="38"/>
        <v>1158069</v>
      </c>
      <c r="Y56" s="42">
        <f t="shared" si="38"/>
        <v>1151252</v>
      </c>
      <c r="Z56" s="42">
        <f>+Z55+Z54</f>
        <v>1198320</v>
      </c>
      <c r="AA56" s="42">
        <f t="shared" si="38"/>
        <v>1202523</v>
      </c>
      <c r="AB56" s="42">
        <f>+AB55+AB54</f>
        <v>1110188</v>
      </c>
      <c r="AC56" s="42">
        <f>+AC55+AC54</f>
        <v>1076900</v>
      </c>
      <c r="AD56" s="42">
        <f>+AD55+AD54</f>
        <v>1081106</v>
      </c>
    </row>
    <row r="57" spans="1:30" ht="15" customHeight="1" thickBot="1" x14ac:dyDescent="0.3">
      <c r="A57" s="131" t="s">
        <v>59</v>
      </c>
      <c r="B57" s="33">
        <f t="shared" ref="B57:E57" si="39">SUM(B46,B56)</f>
        <v>841719</v>
      </c>
      <c r="C57" s="33">
        <f t="shared" si="39"/>
        <v>893713</v>
      </c>
      <c r="D57" s="33">
        <f t="shared" si="39"/>
        <v>915416</v>
      </c>
      <c r="E57" s="33">
        <f t="shared" si="39"/>
        <v>953965</v>
      </c>
      <c r="F57" s="33">
        <f t="shared" ref="F57:K57" si="40">SUM(F46,F56)</f>
        <v>1211186</v>
      </c>
      <c r="G57" s="33">
        <f t="shared" si="40"/>
        <v>1237389</v>
      </c>
      <c r="H57" s="33">
        <f t="shared" si="40"/>
        <v>1298145</v>
      </c>
      <c r="I57" s="33">
        <f t="shared" si="40"/>
        <v>1358194</v>
      </c>
      <c r="J57" s="33">
        <f t="shared" si="40"/>
        <v>1531300</v>
      </c>
      <c r="K57" s="33">
        <f t="shared" si="40"/>
        <v>1499360</v>
      </c>
      <c r="L57" s="33">
        <f t="shared" ref="L57" si="41">SUM(L46,L56)</f>
        <v>1456542</v>
      </c>
      <c r="M57" s="33">
        <v>1515943</v>
      </c>
      <c r="N57" s="33">
        <f t="shared" ref="N57:O57" si="42">SUM(N46,N56)</f>
        <v>1597135</v>
      </c>
      <c r="O57" s="33">
        <f t="shared" si="42"/>
        <v>1745916</v>
      </c>
      <c r="P57" s="33">
        <f t="shared" ref="P57:S57" si="43">SUM(P46,P56)</f>
        <v>1749569</v>
      </c>
      <c r="Q57" s="33">
        <f t="shared" si="43"/>
        <v>1701888</v>
      </c>
      <c r="R57" s="33">
        <f t="shared" si="43"/>
        <v>1790384</v>
      </c>
      <c r="S57" s="33">
        <f t="shared" si="43"/>
        <v>1675889</v>
      </c>
      <c r="T57" s="33">
        <f t="shared" ref="T57:W57" si="44">SUM(T46,T56)</f>
        <v>1804402</v>
      </c>
      <c r="U57" s="33">
        <f t="shared" si="44"/>
        <v>1843368</v>
      </c>
      <c r="V57" s="33">
        <f t="shared" si="44"/>
        <v>1853410</v>
      </c>
      <c r="W57" s="33">
        <f t="shared" si="44"/>
        <v>1782635</v>
      </c>
      <c r="X57" s="33">
        <f t="shared" ref="X57:Y57" si="45">SUM(X46,X56)</f>
        <v>1842442</v>
      </c>
      <c r="Y57" s="33">
        <f t="shared" si="45"/>
        <v>1814493</v>
      </c>
      <c r="Z57" s="33">
        <f>SUM(Z46,Z56)</f>
        <v>1983591</v>
      </c>
      <c r="AA57" s="33">
        <f>SUM(AA46,AA56)</f>
        <v>1915340</v>
      </c>
      <c r="AB57" s="33">
        <f>SUM(AB46,AB56)</f>
        <v>1870844</v>
      </c>
      <c r="AC57" s="33">
        <f>SUM(AC46,AC56)</f>
        <v>2122570</v>
      </c>
      <c r="AD57" s="33">
        <f>SUM(AD46,AD56)</f>
        <v>2348894</v>
      </c>
    </row>
    <row r="58" spans="1:30" ht="15" customHeight="1" thickTop="1" x14ac:dyDescent="0.25"/>
    <row r="59" spans="1:30" ht="15" customHeight="1" x14ac:dyDescent="0.25"/>
    <row r="60" spans="1:30" ht="15" customHeight="1" x14ac:dyDescent="0.25"/>
    <row r="61" spans="1:30" ht="15" customHeight="1" x14ac:dyDescent="0.25"/>
    <row r="62" spans="1:30" ht="15" customHeight="1" x14ac:dyDescent="0.25"/>
    <row r="63" spans="1:30" ht="15" customHeight="1" x14ac:dyDescent="0.25"/>
    <row r="64" spans="1:30"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N110"/>
  <sheetViews>
    <sheetView showGridLines="0" zoomScale="85" zoomScaleNormal="85" workbookViewId="0">
      <selection activeCell="AN1" sqref="AN1:AN1048576"/>
    </sheetView>
  </sheetViews>
  <sheetFormatPr defaultColWidth="21.33203125" defaultRowHeight="13.2" outlineLevelRow="1" outlineLevelCol="1" x14ac:dyDescent="0.25"/>
  <cols>
    <col min="1" max="1" width="48.6640625" style="2" customWidth="1"/>
    <col min="2" max="10" width="11.33203125" style="2" hidden="1" customWidth="1" outlineLevel="1"/>
    <col min="11" max="12" width="11.33203125" style="2" hidden="1" customWidth="1" outlineLevel="1" collapsed="1"/>
    <col min="13" max="15" width="11.33203125" style="2" hidden="1" customWidth="1" outlineLevel="1"/>
    <col min="16" max="16" width="11.33203125" style="2" hidden="1" customWidth="1" collapsed="1"/>
    <col min="17" max="25" width="11.33203125" style="2" hidden="1" customWidth="1"/>
    <col min="26" max="26" width="0" style="2" hidden="1" customWidth="1"/>
    <col min="27" max="28" width="11.33203125" style="2" hidden="1" customWidth="1"/>
    <col min="29" max="30" width="11.33203125" style="2" customWidth="1"/>
    <col min="31" max="31" width="11.33203125" style="2" hidden="1" customWidth="1"/>
    <col min="32" max="35" width="11.33203125" style="2" customWidth="1"/>
    <col min="36" max="37" width="10.21875" style="2" bestFit="1" customWidth="1"/>
    <col min="38" max="39" width="11.33203125" style="2" customWidth="1"/>
    <col min="40" max="40" width="4.21875" style="161" customWidth="1"/>
    <col min="41" max="16384" width="21.33203125" style="2"/>
  </cols>
  <sheetData>
    <row r="1" spans="1:40" ht="15" customHeight="1" x14ac:dyDescent="0.25">
      <c r="A1" s="10" t="s">
        <v>231</v>
      </c>
    </row>
    <row r="2" spans="1:40" ht="15" customHeight="1" x14ac:dyDescent="0.25">
      <c r="A2" s="5" t="s">
        <v>232</v>
      </c>
    </row>
    <row r="3" spans="1:40" ht="25.35" customHeight="1" x14ac:dyDescent="0.25">
      <c r="B3" s="23" t="s">
        <v>233</v>
      </c>
      <c r="C3" s="23" t="s">
        <v>234</v>
      </c>
      <c r="D3" s="23" t="s">
        <v>235</v>
      </c>
      <c r="E3" s="23" t="s">
        <v>236</v>
      </c>
      <c r="F3" s="23"/>
      <c r="G3" s="23" t="s">
        <v>237</v>
      </c>
      <c r="H3" s="23" t="s">
        <v>238</v>
      </c>
      <c r="I3" s="23" t="s">
        <v>239</v>
      </c>
      <c r="J3" s="23" t="s">
        <v>240</v>
      </c>
      <c r="K3" s="23"/>
      <c r="L3" s="23" t="s">
        <v>241</v>
      </c>
      <c r="M3" s="23" t="s">
        <v>242</v>
      </c>
      <c r="N3" s="23" t="s">
        <v>243</v>
      </c>
      <c r="O3" s="23" t="s">
        <v>244</v>
      </c>
      <c r="P3" s="23"/>
      <c r="Q3" s="23" t="s">
        <v>245</v>
      </c>
      <c r="R3" s="23" t="s">
        <v>246</v>
      </c>
      <c r="S3" s="23" t="s">
        <v>247</v>
      </c>
      <c r="T3" s="23" t="s">
        <v>248</v>
      </c>
      <c r="U3" s="23"/>
      <c r="V3" s="23" t="s">
        <v>249</v>
      </c>
      <c r="W3" s="23" t="s">
        <v>250</v>
      </c>
      <c r="X3" s="23" t="s">
        <v>251</v>
      </c>
      <c r="Y3" s="23" t="s">
        <v>252</v>
      </c>
      <c r="AA3" s="23" t="s">
        <v>253</v>
      </c>
      <c r="AB3" s="23" t="s">
        <v>254</v>
      </c>
      <c r="AC3" s="23" t="s">
        <v>255</v>
      </c>
      <c r="AD3" s="23" t="s">
        <v>256</v>
      </c>
      <c r="AE3" s="23"/>
      <c r="AF3" s="23" t="s">
        <v>257</v>
      </c>
      <c r="AG3" s="23" t="s">
        <v>258</v>
      </c>
      <c r="AH3" s="23" t="s">
        <v>259</v>
      </c>
      <c r="AI3" s="23" t="s">
        <v>260</v>
      </c>
      <c r="AJ3" s="23" t="s">
        <v>261</v>
      </c>
      <c r="AK3" s="23" t="s">
        <v>262</v>
      </c>
      <c r="AL3" s="23" t="s">
        <v>263</v>
      </c>
      <c r="AM3" s="23" t="s">
        <v>264</v>
      </c>
    </row>
    <row r="4" spans="1:40" ht="15" customHeight="1" x14ac:dyDescent="0.25">
      <c r="A4" s="24"/>
      <c r="B4" s="25"/>
      <c r="C4" s="25"/>
      <c r="D4" s="25"/>
      <c r="E4" s="25"/>
      <c r="F4" s="25"/>
      <c r="G4" s="25"/>
      <c r="H4" s="25"/>
      <c r="I4" s="25"/>
      <c r="J4" s="25"/>
      <c r="K4" s="25"/>
      <c r="L4" s="25"/>
      <c r="M4" s="25"/>
      <c r="N4" s="25"/>
      <c r="O4" s="25"/>
      <c r="P4" s="25"/>
      <c r="Q4" s="25"/>
      <c r="R4" s="25"/>
      <c r="S4" s="25"/>
      <c r="T4" s="25"/>
      <c r="U4" s="25"/>
      <c r="V4" s="25"/>
      <c r="W4" s="25"/>
      <c r="X4" s="25"/>
      <c r="Y4" s="25"/>
      <c r="AA4" s="25"/>
      <c r="AB4" s="25"/>
      <c r="AC4" s="25"/>
      <c r="AD4" s="25"/>
      <c r="AE4" s="25"/>
      <c r="AF4" s="25"/>
      <c r="AG4" s="25"/>
      <c r="AH4" s="25"/>
      <c r="AI4" s="25"/>
      <c r="AJ4" s="25"/>
      <c r="AK4" s="25"/>
      <c r="AL4" s="25"/>
      <c r="AM4" s="25"/>
    </row>
    <row r="5" spans="1:40" ht="15" customHeight="1" x14ac:dyDescent="0.25">
      <c r="A5" s="26" t="s">
        <v>265</v>
      </c>
      <c r="B5" s="84">
        <v>7832</v>
      </c>
      <c r="C5" s="84">
        <v>8564</v>
      </c>
      <c r="D5" s="84">
        <v>9290</v>
      </c>
      <c r="E5" s="84">
        <v>10198</v>
      </c>
      <c r="F5" s="84"/>
      <c r="G5" s="84">
        <v>10962</v>
      </c>
      <c r="H5" s="84">
        <v>11874</v>
      </c>
      <c r="I5" s="84">
        <v>12882</v>
      </c>
      <c r="J5" s="84">
        <v>14468</v>
      </c>
      <c r="K5" s="84"/>
      <c r="L5" s="84">
        <v>15423</v>
      </c>
      <c r="M5" s="84">
        <v>16370</v>
      </c>
      <c r="N5" s="84">
        <v>17299</v>
      </c>
      <c r="O5" s="84">
        <v>18118</v>
      </c>
      <c r="P5" s="84"/>
      <c r="Q5" s="84">
        <v>18528</v>
      </c>
      <c r="R5" s="84">
        <v>18936</v>
      </c>
      <c r="S5" s="84">
        <v>19213</v>
      </c>
      <c r="T5" s="84">
        <v>19419</v>
      </c>
      <c r="U5" s="84"/>
      <c r="V5" s="84">
        <v>19373</v>
      </c>
      <c r="W5" s="84">
        <v>19733</v>
      </c>
      <c r="X5" s="84">
        <v>19971</v>
      </c>
      <c r="Y5" s="84">
        <v>20247</v>
      </c>
      <c r="AA5" s="84">
        <v>20360</v>
      </c>
      <c r="AB5" s="84">
        <v>20359</v>
      </c>
      <c r="AC5" s="84">
        <v>20565</v>
      </c>
      <c r="AD5" s="84">
        <v>21460</v>
      </c>
      <c r="AE5" s="84"/>
      <c r="AF5" s="84">
        <v>20626</v>
      </c>
      <c r="AG5" s="84">
        <v>21332</v>
      </c>
      <c r="AH5" s="84">
        <v>21747</v>
      </c>
      <c r="AI5" s="84">
        <v>21745</v>
      </c>
      <c r="AJ5" s="84">
        <v>21597</v>
      </c>
      <c r="AK5" s="84">
        <v>21711</v>
      </c>
      <c r="AL5" s="84">
        <v>21673</v>
      </c>
      <c r="AM5" s="84">
        <v>21600</v>
      </c>
      <c r="AN5" s="163"/>
    </row>
    <row r="6" spans="1:40" ht="15" customHeight="1" x14ac:dyDescent="0.25">
      <c r="A6" s="27"/>
      <c r="B6" s="85"/>
      <c r="C6" s="85"/>
      <c r="D6" s="85"/>
      <c r="E6" s="85"/>
      <c r="F6" s="85"/>
      <c r="G6" s="85"/>
      <c r="H6" s="85"/>
      <c r="I6" s="85"/>
      <c r="J6" s="85"/>
      <c r="K6" s="85"/>
      <c r="L6" s="85"/>
      <c r="M6" s="85"/>
      <c r="N6" s="85"/>
      <c r="O6" s="85"/>
      <c r="P6" s="85"/>
      <c r="Q6" s="85"/>
      <c r="R6" s="85"/>
      <c r="S6" s="85"/>
      <c r="T6" s="85"/>
      <c r="U6" s="85"/>
      <c r="V6" s="85"/>
      <c r="W6" s="85"/>
      <c r="X6" s="85"/>
      <c r="Y6" s="85"/>
      <c r="AA6" s="85"/>
      <c r="AB6" s="85"/>
      <c r="AC6" s="85"/>
      <c r="AD6" s="85"/>
      <c r="AE6" s="85"/>
      <c r="AF6" s="85"/>
      <c r="AG6" s="85"/>
      <c r="AH6" s="85"/>
      <c r="AI6" s="85"/>
      <c r="AJ6" s="85"/>
      <c r="AK6" s="85"/>
      <c r="AL6" s="85"/>
      <c r="AM6" s="85"/>
    </row>
    <row r="7" spans="1:40" ht="15" customHeight="1" x14ac:dyDescent="0.25">
      <c r="A7" s="26" t="s">
        <v>1</v>
      </c>
      <c r="B7" s="86">
        <f>SUM(B8:B10)</f>
        <v>294172</v>
      </c>
      <c r="C7" s="86">
        <f>SUM(C8:C10)</f>
        <v>299306</v>
      </c>
      <c r="D7" s="86">
        <f>SUM(D8:D10)</f>
        <v>332674</v>
      </c>
      <c r="E7" s="86">
        <f>SUM(E8:E10)</f>
        <v>397018</v>
      </c>
      <c r="F7" s="86"/>
      <c r="G7" s="86">
        <f>SUM(G8:G10)</f>
        <v>401253</v>
      </c>
      <c r="H7" s="86">
        <f>SUM(H8:H10)</f>
        <v>407201</v>
      </c>
      <c r="I7" s="86">
        <f>SUM(I8:I10)</f>
        <v>423867</v>
      </c>
      <c r="J7" s="86">
        <f>SUM(J8:J10)</f>
        <v>566825</v>
      </c>
      <c r="K7" s="86"/>
      <c r="L7" s="86">
        <f>SUM(L8:L10)</f>
        <v>516667</v>
      </c>
      <c r="M7" s="86">
        <f>SUM(M8:M10)</f>
        <v>542022</v>
      </c>
      <c r="N7" s="86">
        <f>SUM(N8:N10)</f>
        <v>563973</v>
      </c>
      <c r="O7" s="86">
        <f>SUM(O8:O10)</f>
        <v>674031</v>
      </c>
      <c r="P7" s="86"/>
      <c r="Q7" s="86">
        <f>SUM(Q8:Q10)</f>
        <v>564164</v>
      </c>
      <c r="R7" s="86">
        <f>SUM(R8:R10)</f>
        <v>537185</v>
      </c>
      <c r="S7" s="86">
        <f>SUM(S8:S10)</f>
        <v>528869</v>
      </c>
      <c r="T7" s="86">
        <f>SUM(T8:T10)</f>
        <v>670096</v>
      </c>
      <c r="U7" s="86"/>
      <c r="V7" s="86">
        <f>SUM(V8:V10)</f>
        <v>558123</v>
      </c>
      <c r="W7" s="86">
        <f>SUM(W8:W10)</f>
        <v>528147</v>
      </c>
      <c r="X7" s="86">
        <f>SUM(X8:X10)</f>
        <v>522606</v>
      </c>
      <c r="Y7" s="86">
        <f>SUM(Y8:Y10)</f>
        <v>652640</v>
      </c>
      <c r="AA7" s="86">
        <f>SUM(AA8:AA10)</f>
        <v>503376</v>
      </c>
      <c r="AB7" s="86">
        <f>SUM(AB8:AB10)</f>
        <v>437614</v>
      </c>
      <c r="AC7" s="86">
        <f>SUM(AC8:AC10)</f>
        <v>470345</v>
      </c>
      <c r="AD7" s="86">
        <f>SUM(AD8:AD10)</f>
        <v>661282</v>
      </c>
      <c r="AE7" s="86"/>
      <c r="AF7" s="86">
        <f>SUM(AF8:AF10)</f>
        <v>541077</v>
      </c>
      <c r="AG7" s="86">
        <f>SUM(AG8:AG10)</f>
        <v>551311</v>
      </c>
      <c r="AH7" s="86">
        <f>SUM(AH8:AH10)</f>
        <v>508580</v>
      </c>
      <c r="AI7" s="84">
        <v>653267</v>
      </c>
      <c r="AJ7" s="84">
        <f>SUM(AJ8:AJ10)</f>
        <v>510567</v>
      </c>
      <c r="AK7" s="84">
        <v>495090</v>
      </c>
      <c r="AL7" s="84">
        <v>446921</v>
      </c>
      <c r="AM7" s="84">
        <v>564425</v>
      </c>
    </row>
    <row r="8" spans="1:40" ht="15" customHeight="1" x14ac:dyDescent="0.25">
      <c r="A8" s="28" t="s">
        <v>175</v>
      </c>
      <c r="B8" s="87">
        <f>'Contribution Ex Tac'!B10</f>
        <v>100624</v>
      </c>
      <c r="C8" s="87">
        <f>'Contribution Ex Tac'!C10</f>
        <v>110872</v>
      </c>
      <c r="D8" s="87">
        <f>'Contribution Ex Tac'!D10</f>
        <v>124024</v>
      </c>
      <c r="E8" s="87">
        <f>'Contribution Ex Tac'!E10</f>
        <v>170133</v>
      </c>
      <c r="F8" s="87"/>
      <c r="G8" s="87">
        <f>'Contribution Ex Tac'!G10</f>
        <v>147174</v>
      </c>
      <c r="H8" s="87">
        <f>'Contribution Ex Tac'!H10</f>
        <v>156522</v>
      </c>
      <c r="I8" s="87">
        <f>'Contribution Ex Tac'!I10</f>
        <v>160739</v>
      </c>
      <c r="J8" s="87">
        <f>'Contribution Ex Tac'!J10</f>
        <v>266438</v>
      </c>
      <c r="K8" s="87"/>
      <c r="L8" s="87">
        <f>'Contribution Ex Tac'!L10</f>
        <v>208013</v>
      </c>
      <c r="M8" s="87">
        <f>'Contribution Ex Tac'!M10</f>
        <v>229392</v>
      </c>
      <c r="N8" s="87">
        <f>'Contribution Ex Tac'!N10</f>
        <v>228326</v>
      </c>
      <c r="O8" s="87">
        <f>'Contribution Ex Tac'!O10</f>
        <v>324696</v>
      </c>
      <c r="P8" s="87"/>
      <c r="Q8" s="87">
        <f>'Contribution Ex Tac'!Q10</f>
        <v>212695</v>
      </c>
      <c r="R8" s="87">
        <f>'Contribution Ex Tac'!R10</f>
        <v>212781</v>
      </c>
      <c r="S8" s="87">
        <f>'Contribution Ex Tac'!S10</f>
        <v>211247</v>
      </c>
      <c r="T8" s="87">
        <f>'Contribution Ex Tac'!T10</f>
        <v>317350</v>
      </c>
      <c r="U8" s="87"/>
      <c r="V8" s="87">
        <f>'Contribution Ex Tac'!V10</f>
        <v>217993</v>
      </c>
      <c r="W8" s="87">
        <f>'Contribution Ex Tac'!W10</f>
        <v>213974</v>
      </c>
      <c r="X8" s="87">
        <f>'Contribution Ex Tac'!X10</f>
        <v>213937</v>
      </c>
      <c r="Y8" s="87">
        <f>'Contribution Ex Tac'!Y10</f>
        <v>306250</v>
      </c>
      <c r="AA8" s="87">
        <f>'Contribution Ex Tac'!AA10</f>
        <v>191745</v>
      </c>
      <c r="AB8" s="87">
        <f>'Contribution Ex Tac'!AB10</f>
        <v>185674</v>
      </c>
      <c r="AC8" s="87">
        <f>'Contribution Ex Tac'!AC10</f>
        <v>204618</v>
      </c>
      <c r="AD8" s="87">
        <f>'Contribution Ex Tac'!AD10</f>
        <v>312817</v>
      </c>
      <c r="AE8" s="87"/>
      <c r="AF8" s="87">
        <f>'Contribution Ex Tac'!AF10</f>
        <v>203900</v>
      </c>
      <c r="AG8" s="87">
        <f>'Contribution Ex Tac'!AG10</f>
        <v>221227</v>
      </c>
      <c r="AH8" s="87">
        <f>'Contribution Ex Tac'!AH10</f>
        <v>204428</v>
      </c>
      <c r="AI8" s="155">
        <v>287270</v>
      </c>
      <c r="AJ8" s="155">
        <v>194847</v>
      </c>
      <c r="AK8" s="155">
        <v>213340</v>
      </c>
      <c r="AL8" s="155">
        <v>201274</v>
      </c>
      <c r="AM8" s="155">
        <v>281806</v>
      </c>
    </row>
    <row r="9" spans="1:40" ht="15" customHeight="1" x14ac:dyDescent="0.25">
      <c r="A9" s="28" t="s">
        <v>176</v>
      </c>
      <c r="B9" s="87">
        <f>'Contribution Ex Tac'!B11</f>
        <v>132208</v>
      </c>
      <c r="C9" s="87">
        <f>'Contribution Ex Tac'!C11</f>
        <v>126807</v>
      </c>
      <c r="D9" s="87">
        <f>'Contribution Ex Tac'!D11</f>
        <v>137185</v>
      </c>
      <c r="E9" s="87">
        <f>'Contribution Ex Tac'!E11</f>
        <v>144905</v>
      </c>
      <c r="F9" s="87"/>
      <c r="G9" s="87">
        <f>'Contribution Ex Tac'!G11</f>
        <v>159405</v>
      </c>
      <c r="H9" s="87">
        <f>'Contribution Ex Tac'!H11</f>
        <v>153899</v>
      </c>
      <c r="I9" s="87">
        <f>'Contribution Ex Tac'!I11</f>
        <v>157921</v>
      </c>
      <c r="J9" s="87">
        <f>'Contribution Ex Tac'!J11</f>
        <v>189298</v>
      </c>
      <c r="K9" s="87"/>
      <c r="L9" s="87">
        <f>'Contribution Ex Tac'!L11</f>
        <v>189092</v>
      </c>
      <c r="M9" s="87">
        <f>'Contribution Ex Tac'!M11</f>
        <v>191682</v>
      </c>
      <c r="N9" s="87">
        <f>'Contribution Ex Tac'!N11</f>
        <v>207168</v>
      </c>
      <c r="O9" s="87">
        <f>'Contribution Ex Tac'!O11</f>
        <v>221019</v>
      </c>
      <c r="P9" s="87"/>
      <c r="Q9" s="87">
        <f>'Contribution Ex Tac'!Q11</f>
        <v>222611</v>
      </c>
      <c r="R9" s="87">
        <f>'Contribution Ex Tac'!R11</f>
        <v>201080</v>
      </c>
      <c r="S9" s="87">
        <f>'Contribution Ex Tac'!S11</f>
        <v>195230</v>
      </c>
      <c r="T9" s="87">
        <f>'Contribution Ex Tac'!T11</f>
        <v>220904</v>
      </c>
      <c r="U9" s="87"/>
      <c r="V9" s="87">
        <f>'Contribution Ex Tac'!V11</f>
        <v>209643</v>
      </c>
      <c r="W9" s="87">
        <f>'Contribution Ex Tac'!W11</f>
        <v>194359</v>
      </c>
      <c r="X9" s="87">
        <f>'Contribution Ex Tac'!X11</f>
        <v>185556</v>
      </c>
      <c r="Y9" s="87">
        <f>'Contribution Ex Tac'!Y11</f>
        <v>216639</v>
      </c>
      <c r="AA9" s="87">
        <f>'Contribution Ex Tac'!AA11</f>
        <v>190114</v>
      </c>
      <c r="AB9" s="87">
        <f>'Contribution Ex Tac'!AB11</f>
        <v>159621</v>
      </c>
      <c r="AC9" s="87">
        <f>'Contribution Ex Tac'!AC11</f>
        <v>167800</v>
      </c>
      <c r="AD9" s="87">
        <f>'Contribution Ex Tac'!AD11</f>
        <v>232137</v>
      </c>
      <c r="AE9" s="87"/>
      <c r="AF9" s="87">
        <f>'Contribution Ex Tac'!AF11</f>
        <v>212096</v>
      </c>
      <c r="AG9" s="87">
        <f>'Contribution Ex Tac'!AG11</f>
        <v>209303</v>
      </c>
      <c r="AH9" s="87">
        <f>'Contribution Ex Tac'!AH11</f>
        <v>188354</v>
      </c>
      <c r="AI9" s="155">
        <v>234559</v>
      </c>
      <c r="AJ9" s="155">
        <v>193954</v>
      </c>
      <c r="AK9" s="155">
        <v>176867</v>
      </c>
      <c r="AL9" s="155">
        <v>150915</v>
      </c>
      <c r="AM9" s="155">
        <v>185125</v>
      </c>
    </row>
    <row r="10" spans="1:40" ht="15" customHeight="1" x14ac:dyDescent="0.25">
      <c r="A10" s="28" t="s">
        <v>266</v>
      </c>
      <c r="B10" s="87">
        <f>'Contribution Ex Tac'!B12</f>
        <v>61340</v>
      </c>
      <c r="C10" s="87">
        <f>'Contribution Ex Tac'!C12</f>
        <v>61627</v>
      </c>
      <c r="D10" s="87">
        <f>'Contribution Ex Tac'!D12</f>
        <v>71465</v>
      </c>
      <c r="E10" s="87">
        <f>'Contribution Ex Tac'!E12</f>
        <v>81980</v>
      </c>
      <c r="F10" s="87"/>
      <c r="G10" s="87">
        <f>'Contribution Ex Tac'!G12</f>
        <v>94674</v>
      </c>
      <c r="H10" s="87">
        <f>'Contribution Ex Tac'!H12</f>
        <v>96780</v>
      </c>
      <c r="I10" s="87">
        <f>'Contribution Ex Tac'!I12</f>
        <v>105207</v>
      </c>
      <c r="J10" s="87">
        <f>'Contribution Ex Tac'!J12</f>
        <v>111089</v>
      </c>
      <c r="K10" s="87"/>
      <c r="L10" s="87">
        <f>'Contribution Ex Tac'!L12</f>
        <v>119562</v>
      </c>
      <c r="M10" s="87">
        <f>'Contribution Ex Tac'!M12</f>
        <v>120948</v>
      </c>
      <c r="N10" s="87">
        <f>'Contribution Ex Tac'!N12</f>
        <v>128479</v>
      </c>
      <c r="O10" s="87">
        <f>'Contribution Ex Tac'!O12</f>
        <v>128316</v>
      </c>
      <c r="P10" s="87"/>
      <c r="Q10" s="87">
        <f>'Contribution Ex Tac'!Q12</f>
        <v>128858</v>
      </c>
      <c r="R10" s="87">
        <f>'Contribution Ex Tac'!R12</f>
        <v>123324</v>
      </c>
      <c r="S10" s="87">
        <f>'Contribution Ex Tac'!S12</f>
        <v>122392</v>
      </c>
      <c r="T10" s="87">
        <f>'Contribution Ex Tac'!T12</f>
        <v>131842</v>
      </c>
      <c r="U10" s="87"/>
      <c r="V10" s="87">
        <f>'Contribution Ex Tac'!V12</f>
        <v>130487</v>
      </c>
      <c r="W10" s="87">
        <f>'Contribution Ex Tac'!W12</f>
        <v>119814</v>
      </c>
      <c r="X10" s="87">
        <f>'Contribution Ex Tac'!X12</f>
        <v>123113</v>
      </c>
      <c r="Y10" s="87">
        <f>'Contribution Ex Tac'!Y12</f>
        <v>129751</v>
      </c>
      <c r="AA10" s="87">
        <f>'Contribution Ex Tac'!AA12</f>
        <v>121517</v>
      </c>
      <c r="AB10" s="87">
        <f>'Contribution Ex Tac'!AB12</f>
        <v>92319</v>
      </c>
      <c r="AC10" s="87">
        <f>'Contribution Ex Tac'!AC12</f>
        <v>97927</v>
      </c>
      <c r="AD10" s="87">
        <f>'Contribution Ex Tac'!AD12</f>
        <v>116328</v>
      </c>
      <c r="AE10" s="87"/>
      <c r="AF10" s="87">
        <f>'Contribution Ex Tac'!AF12</f>
        <v>125081</v>
      </c>
      <c r="AG10" s="87">
        <f>'Contribution Ex Tac'!AG12</f>
        <v>120781</v>
      </c>
      <c r="AH10" s="87">
        <f>'Contribution Ex Tac'!AH12</f>
        <v>115798</v>
      </c>
      <c r="AI10" s="155">
        <v>131438</v>
      </c>
      <c r="AJ10" s="155">
        <v>121766</v>
      </c>
      <c r="AK10" s="155">
        <v>104883</v>
      </c>
      <c r="AL10" s="155">
        <v>94732</v>
      </c>
      <c r="AM10" s="155">
        <v>97494</v>
      </c>
    </row>
    <row r="11" spans="1:40" ht="15" customHeight="1" x14ac:dyDescent="0.25">
      <c r="A11" s="28"/>
      <c r="B11" s="87"/>
      <c r="C11" s="87"/>
      <c r="D11" s="87"/>
      <c r="E11" s="87"/>
      <c r="F11" s="87"/>
      <c r="G11" s="87"/>
      <c r="H11" s="87"/>
      <c r="I11" s="87"/>
      <c r="J11" s="87"/>
      <c r="K11" s="87"/>
      <c r="L11" s="87"/>
      <c r="M11" s="87"/>
      <c r="N11" s="87"/>
      <c r="O11" s="87"/>
      <c r="P11" s="87"/>
      <c r="Q11" s="87"/>
      <c r="R11" s="87"/>
      <c r="S11" s="87"/>
      <c r="T11" s="87"/>
      <c r="U11" s="87"/>
      <c r="V11" s="87"/>
      <c r="W11" s="87"/>
      <c r="X11" s="87"/>
      <c r="Y11" s="87"/>
      <c r="AA11" s="87"/>
      <c r="AB11" s="87"/>
      <c r="AC11" s="87"/>
      <c r="AD11" s="87"/>
      <c r="AE11" s="87"/>
      <c r="AF11" s="87"/>
      <c r="AG11" s="87"/>
      <c r="AH11" s="87"/>
      <c r="AI11" s="87"/>
      <c r="AJ11" s="87"/>
      <c r="AK11" s="87"/>
      <c r="AL11" s="87"/>
      <c r="AM11" s="87"/>
    </row>
    <row r="12" spans="1:40" ht="15" customHeight="1" x14ac:dyDescent="0.25">
      <c r="A12" s="26" t="s">
        <v>1</v>
      </c>
      <c r="B12" s="87"/>
      <c r="C12" s="87"/>
      <c r="D12" s="87"/>
      <c r="E12" s="87"/>
      <c r="F12" s="87"/>
      <c r="G12" s="87"/>
      <c r="H12" s="87"/>
      <c r="I12" s="87"/>
      <c r="J12" s="87"/>
      <c r="K12" s="87"/>
      <c r="L12" s="87"/>
      <c r="M12" s="87"/>
      <c r="N12" s="87"/>
      <c r="O12" s="87"/>
      <c r="P12" s="87"/>
      <c r="Q12" s="149" t="s">
        <v>267</v>
      </c>
      <c r="R12" s="149" t="s">
        <v>267</v>
      </c>
      <c r="S12" s="149" t="s">
        <v>267</v>
      </c>
      <c r="T12" s="149" t="s">
        <v>267</v>
      </c>
      <c r="U12" s="149" t="s">
        <v>267</v>
      </c>
      <c r="V12" s="149" t="s">
        <v>267</v>
      </c>
      <c r="W12" s="149" t="s">
        <v>267</v>
      </c>
      <c r="X12" s="149" t="s">
        <v>267</v>
      </c>
      <c r="Y12" s="149" t="s">
        <v>267</v>
      </c>
      <c r="Z12" s="86">
        <f t="shared" ref="Z12:AE12" si="0">SUM(Z13:Z14)</f>
        <v>0</v>
      </c>
      <c r="AA12" s="86">
        <f t="shared" si="0"/>
        <v>503376</v>
      </c>
      <c r="AB12" s="86">
        <f t="shared" si="0"/>
        <v>437614</v>
      </c>
      <c r="AC12" s="86">
        <f t="shared" si="0"/>
        <v>470345</v>
      </c>
      <c r="AD12" s="86">
        <f t="shared" si="0"/>
        <v>661282</v>
      </c>
      <c r="AE12" s="86">
        <f t="shared" si="0"/>
        <v>2072617</v>
      </c>
      <c r="AF12" s="86">
        <f>SUM(AF13:AF14)</f>
        <v>541077</v>
      </c>
      <c r="AG12" s="86">
        <f t="shared" ref="AG12:AI12" si="1">SUM(AG13:AG14)</f>
        <v>551311</v>
      </c>
      <c r="AH12" s="86">
        <f t="shared" si="1"/>
        <v>508580</v>
      </c>
      <c r="AI12" s="86">
        <f t="shared" si="1"/>
        <v>653267</v>
      </c>
      <c r="AJ12" s="86">
        <f>SUM(AJ13:AJ14)</f>
        <v>510567</v>
      </c>
      <c r="AK12" s="86">
        <f>SUM(AK13:AK14)</f>
        <v>495090</v>
      </c>
      <c r="AL12" s="86">
        <f>SUM(AL13:AL15)</f>
        <v>446921</v>
      </c>
      <c r="AM12" s="86">
        <f>SUM(AM13:AM15)</f>
        <v>564425</v>
      </c>
    </row>
    <row r="13" spans="1:40" ht="15" customHeight="1" x14ac:dyDescent="0.25">
      <c r="A13" s="125" t="s">
        <v>181</v>
      </c>
      <c r="B13" s="87"/>
      <c r="C13" s="87"/>
      <c r="D13" s="87"/>
      <c r="E13" s="87"/>
      <c r="F13" s="87"/>
      <c r="G13" s="87"/>
      <c r="H13" s="87"/>
      <c r="I13" s="87"/>
      <c r="J13" s="87"/>
      <c r="K13" s="87"/>
      <c r="L13" s="87"/>
      <c r="M13" s="87"/>
      <c r="N13" s="87"/>
      <c r="O13" s="87"/>
      <c r="P13" s="87"/>
      <c r="Q13" s="149" t="s">
        <v>267</v>
      </c>
      <c r="R13" s="149" t="s">
        <v>267</v>
      </c>
      <c r="S13" s="149" t="s">
        <v>267</v>
      </c>
      <c r="T13" s="149" t="s">
        <v>267</v>
      </c>
      <c r="U13" s="149" t="s">
        <v>267</v>
      </c>
      <c r="V13" s="149" t="s">
        <v>267</v>
      </c>
      <c r="W13" s="149" t="s">
        <v>267</v>
      </c>
      <c r="X13" s="149" t="s">
        <v>267</v>
      </c>
      <c r="Y13" s="149" t="s">
        <v>267</v>
      </c>
      <c r="Z13" s="87">
        <f>'Contribution Ex Tac'!Z29</f>
        <v>0</v>
      </c>
      <c r="AA13" s="87">
        <f>'Contribution Ex Tac'!AA29</f>
        <v>469773</v>
      </c>
      <c r="AB13" s="87">
        <f>'Contribution Ex Tac'!AB29</f>
        <v>381270</v>
      </c>
      <c r="AC13" s="87">
        <f>'Contribution Ex Tac'!AC29</f>
        <v>412126</v>
      </c>
      <c r="AD13" s="87">
        <f>'Contribution Ex Tac'!AD29</f>
        <v>543262</v>
      </c>
      <c r="AE13" s="87">
        <f>'Contribution Ex Tac'!AE29</f>
        <v>1806431</v>
      </c>
      <c r="AF13" s="87">
        <f>'Contribution Ex Tac'!AF29</f>
        <v>483190</v>
      </c>
      <c r="AG13" s="87">
        <f>'Contribution Ex Tac'!AG29</f>
        <v>487465</v>
      </c>
      <c r="AH13" s="87">
        <f>'Contribution Ex Tac'!AH29</f>
        <v>458622</v>
      </c>
      <c r="AI13" s="87">
        <f>'Contribution Ex Tac'!AI29</f>
        <v>577962</v>
      </c>
      <c r="AJ13" s="87">
        <v>463888</v>
      </c>
      <c r="AK13" s="87">
        <f>'Contribution Ex Tac'!AL29</f>
        <v>440423</v>
      </c>
      <c r="AL13" s="87">
        <v>387288</v>
      </c>
      <c r="AM13" s="87">
        <f>'Contribution Ex Tac'!AN29</f>
        <v>470918</v>
      </c>
    </row>
    <row r="14" spans="1:40" ht="15" customHeight="1" x14ac:dyDescent="0.25">
      <c r="A14" s="125" t="s">
        <v>268</v>
      </c>
      <c r="B14" s="87"/>
      <c r="C14" s="87"/>
      <c r="D14" s="87"/>
      <c r="E14" s="87"/>
      <c r="F14" s="87"/>
      <c r="G14" s="87"/>
      <c r="H14" s="87"/>
      <c r="I14" s="87"/>
      <c r="J14" s="87"/>
      <c r="K14" s="87"/>
      <c r="L14" s="87"/>
      <c r="M14" s="87"/>
      <c r="N14" s="87"/>
      <c r="O14" s="87"/>
      <c r="P14" s="87"/>
      <c r="Q14" s="149" t="s">
        <v>267</v>
      </c>
      <c r="R14" s="149" t="s">
        <v>267</v>
      </c>
      <c r="S14" s="149" t="s">
        <v>267</v>
      </c>
      <c r="T14" s="149" t="s">
        <v>267</v>
      </c>
      <c r="U14" s="149" t="s">
        <v>267</v>
      </c>
      <c r="V14" s="149" t="s">
        <v>267</v>
      </c>
      <c r="W14" s="149" t="s">
        <v>267</v>
      </c>
      <c r="X14" s="149" t="s">
        <v>267</v>
      </c>
      <c r="Y14" s="149" t="s">
        <v>267</v>
      </c>
      <c r="Z14" s="87">
        <f>'Contribution Ex Tac'!Z30</f>
        <v>0</v>
      </c>
      <c r="AA14" s="87">
        <f>'Contribution Ex Tac'!AA30</f>
        <v>33603</v>
      </c>
      <c r="AB14" s="87">
        <f>'Contribution Ex Tac'!AB30</f>
        <v>56344</v>
      </c>
      <c r="AC14" s="87">
        <f>'Contribution Ex Tac'!AC30</f>
        <v>58219</v>
      </c>
      <c r="AD14" s="87">
        <f>'Contribution Ex Tac'!AD30</f>
        <v>118020</v>
      </c>
      <c r="AE14" s="87">
        <f>'Contribution Ex Tac'!AE30</f>
        <v>266186</v>
      </c>
      <c r="AF14" s="87">
        <f>'Contribution Ex Tac'!AF30</f>
        <v>57887</v>
      </c>
      <c r="AG14" s="87">
        <f>'Contribution Ex Tac'!AG30</f>
        <v>63846</v>
      </c>
      <c r="AH14" s="87">
        <f>'Contribution Ex Tac'!AH30</f>
        <v>49958</v>
      </c>
      <c r="AI14" s="87">
        <f>'Contribution Ex Tac'!AI30</f>
        <v>75305</v>
      </c>
      <c r="AJ14" s="87">
        <v>46679</v>
      </c>
      <c r="AK14" s="87">
        <f>'Contribution Ex Tac'!AL30</f>
        <v>54667</v>
      </c>
      <c r="AL14" s="87">
        <v>41170</v>
      </c>
      <c r="AM14" s="87">
        <f>'Contribution Ex Tac'!AN30</f>
        <v>59801</v>
      </c>
    </row>
    <row r="15" spans="1:40" ht="15" customHeight="1" x14ac:dyDescent="0.25">
      <c r="A15" s="125" t="s">
        <v>183</v>
      </c>
      <c r="B15" s="87"/>
      <c r="C15" s="87"/>
      <c r="D15" s="87"/>
      <c r="E15" s="87"/>
      <c r="F15" s="87"/>
      <c r="G15" s="87"/>
      <c r="H15" s="87"/>
      <c r="I15" s="87"/>
      <c r="J15" s="87"/>
      <c r="K15" s="87"/>
      <c r="L15" s="87"/>
      <c r="M15" s="87"/>
      <c r="N15" s="87"/>
      <c r="O15" s="87"/>
      <c r="P15" s="87"/>
      <c r="Q15" s="149"/>
      <c r="R15" s="149"/>
      <c r="S15" s="149"/>
      <c r="T15" s="149"/>
      <c r="U15" s="149"/>
      <c r="V15" s="149"/>
      <c r="W15" s="149"/>
      <c r="X15" s="149"/>
      <c r="Y15" s="149"/>
      <c r="Z15" s="168"/>
      <c r="AA15" s="87"/>
      <c r="AB15" s="87"/>
      <c r="AC15" s="87"/>
      <c r="AD15" s="87"/>
      <c r="AE15" s="87"/>
      <c r="AF15" s="87"/>
      <c r="AG15" s="87"/>
      <c r="AH15" s="87"/>
      <c r="AI15" s="87"/>
      <c r="AJ15" s="87"/>
      <c r="AK15" s="87"/>
      <c r="AL15" s="87">
        <v>18463</v>
      </c>
      <c r="AM15" s="87">
        <v>33706</v>
      </c>
    </row>
    <row r="16" spans="1:40" ht="15" customHeight="1" x14ac:dyDescent="0.25">
      <c r="A16" s="27"/>
      <c r="B16" s="88"/>
      <c r="C16" s="88"/>
      <c r="D16" s="88"/>
      <c r="E16" s="88"/>
      <c r="F16" s="88"/>
      <c r="G16" s="88"/>
      <c r="H16" s="88"/>
      <c r="I16" s="88"/>
      <c r="J16" s="88"/>
      <c r="K16" s="88"/>
      <c r="L16" s="88"/>
      <c r="M16" s="88"/>
      <c r="N16" s="88"/>
      <c r="O16" s="88"/>
      <c r="P16" s="88"/>
      <c r="Q16" s="88"/>
      <c r="R16" s="88"/>
      <c r="S16" s="88"/>
      <c r="T16" s="88"/>
      <c r="U16" s="88"/>
      <c r="V16" s="88"/>
      <c r="W16" s="88"/>
      <c r="X16" s="88"/>
      <c r="Y16" s="88"/>
      <c r="AA16" s="88"/>
      <c r="AB16" s="88"/>
      <c r="AC16" s="88"/>
      <c r="AD16" s="88"/>
      <c r="AE16" s="88"/>
      <c r="AF16" s="88"/>
      <c r="AG16" s="88"/>
      <c r="AH16" s="88"/>
      <c r="AI16" s="88"/>
      <c r="AJ16" s="88"/>
      <c r="AK16" s="88"/>
      <c r="AL16" s="88"/>
      <c r="AM16" s="88"/>
    </row>
    <row r="17" spans="1:39" ht="15" hidden="1" customHeight="1" x14ac:dyDescent="0.25">
      <c r="A17" s="26" t="s">
        <v>269</v>
      </c>
      <c r="B17" s="86">
        <f t="shared" ref="B17" si="2">SUM(B18:B20)</f>
        <v>-175888</v>
      </c>
      <c r="C17" s="86">
        <f t="shared" ref="C17" si="3">SUM(C18:C20)</f>
        <v>-177239</v>
      </c>
      <c r="D17" s="86">
        <f t="shared" ref="D17" si="4">SUM(D18:D20)</f>
        <v>-198970</v>
      </c>
      <c r="E17" s="86">
        <f t="shared" ref="E17" si="5">SUM(E18:E20)</f>
        <v>-237056</v>
      </c>
      <c r="F17" s="86"/>
      <c r="G17" s="86">
        <f t="shared" ref="G17:J17" si="6">SUM(G18:G20)</f>
        <v>-238755</v>
      </c>
      <c r="H17" s="86">
        <f t="shared" si="6"/>
        <v>-240969</v>
      </c>
      <c r="I17" s="86">
        <f t="shared" si="6"/>
        <v>-247310</v>
      </c>
      <c r="J17" s="86">
        <f t="shared" si="6"/>
        <v>-341877</v>
      </c>
      <c r="K17" s="86"/>
      <c r="L17" s="86">
        <f t="shared" ref="L17:O17" si="7">SUM(L18:L20)</f>
        <v>-306693</v>
      </c>
      <c r="M17" s="86">
        <f t="shared" si="7"/>
        <v>-322200</v>
      </c>
      <c r="N17" s="86">
        <f t="shared" si="7"/>
        <v>-329576</v>
      </c>
      <c r="O17" s="86">
        <f t="shared" si="7"/>
        <v>-397087</v>
      </c>
      <c r="P17" s="86"/>
      <c r="Q17" s="86">
        <f>SUM(Q18:Q20)</f>
        <v>-323746</v>
      </c>
      <c r="R17" s="86">
        <f>SUM(R18:R20)</f>
        <v>-306963</v>
      </c>
      <c r="S17" s="86">
        <f>SUM(S18:S20)</f>
        <v>-305387</v>
      </c>
      <c r="T17" s="86">
        <f>SUM(T18:T20)</f>
        <v>-398238</v>
      </c>
      <c r="U17" s="86"/>
      <c r="V17" s="86">
        <f>SUM(V18:V20)</f>
        <v>-322429</v>
      </c>
      <c r="W17" s="86">
        <f>SUM(W18:W20)</f>
        <v>-304229</v>
      </c>
      <c r="X17" s="86">
        <f>SUM(X18:X20)</f>
        <v>-301901</v>
      </c>
      <c r="Y17" s="86">
        <f>SUM(Y18:Y20)</f>
        <v>-386388</v>
      </c>
      <c r="AA17" s="86">
        <f>SUM(AA18:AA20)</f>
        <v>-297364</v>
      </c>
      <c r="AB17" s="86">
        <f>SUM(AB18:AB20)</f>
        <v>-257698</v>
      </c>
      <c r="AC17" s="86">
        <f>SUM(AC18:AC20)</f>
        <v>-284401</v>
      </c>
      <c r="AD17" s="86">
        <f>SUM(AD18:AD20)</f>
        <v>-408108</v>
      </c>
      <c r="AE17" s="86"/>
      <c r="AF17" s="86">
        <f>SUM(AF18:AF20)</f>
        <v>-327667</v>
      </c>
      <c r="AG17" s="86">
        <f>SUM(AG18:AG20)</f>
        <v>-331078</v>
      </c>
      <c r="AH17" s="86">
        <f>SUM(AH18:AH20)</f>
        <v>-297619</v>
      </c>
      <c r="AI17" s="86"/>
      <c r="AJ17" s="86">
        <f>SUM(AJ18:AJ20)</f>
        <v>0</v>
      </c>
      <c r="AK17" s="86">
        <f>SUM(AK18:AK20)</f>
        <v>0</v>
      </c>
      <c r="AL17" s="86">
        <f>SUM(AL18:AL20)</f>
        <v>0</v>
      </c>
      <c r="AM17" s="86"/>
    </row>
    <row r="18" spans="1:39" ht="15" hidden="1" customHeight="1" x14ac:dyDescent="0.25">
      <c r="A18" s="28" t="s">
        <v>175</v>
      </c>
      <c r="B18" s="87">
        <f>'Contribution Ex Tac'!B16</f>
        <v>-61244</v>
      </c>
      <c r="C18" s="87">
        <f>'Contribution Ex Tac'!C16</f>
        <v>-66853</v>
      </c>
      <c r="D18" s="87">
        <f>'Contribution Ex Tac'!D16</f>
        <v>-75684</v>
      </c>
      <c r="E18" s="87">
        <f>'Contribution Ex Tac'!E16</f>
        <v>-104646</v>
      </c>
      <c r="F18" s="87"/>
      <c r="G18" s="87">
        <f>'Contribution Ex Tac'!G16</f>
        <v>-90929</v>
      </c>
      <c r="H18" s="87">
        <f>'Contribution Ex Tac'!H16</f>
        <v>-96560</v>
      </c>
      <c r="I18" s="87">
        <f>'Contribution Ex Tac'!I16</f>
        <v>-97239</v>
      </c>
      <c r="J18" s="87">
        <f>'Contribution Ex Tac'!J16</f>
        <v>-167046</v>
      </c>
      <c r="K18" s="87"/>
      <c r="L18" s="87">
        <f>'Contribution Ex Tac'!L16</f>
        <v>-128867</v>
      </c>
      <c r="M18" s="87">
        <f>'Contribution Ex Tac'!M16</f>
        <v>-145289</v>
      </c>
      <c r="N18" s="87">
        <f>'Contribution Ex Tac'!N16</f>
        <v>-141869</v>
      </c>
      <c r="O18" s="87">
        <f>'Contribution Ex Tac'!O16</f>
        <v>-203368</v>
      </c>
      <c r="P18" s="87"/>
      <c r="Q18" s="87">
        <f>'Contribution Ex Tac'!Q16</f>
        <v>-131521</v>
      </c>
      <c r="R18" s="87">
        <f>'Contribution Ex Tac'!R16</f>
        <v>-125502</v>
      </c>
      <c r="S18" s="87">
        <f>'Contribution Ex Tac'!S16</f>
        <v>-126406</v>
      </c>
      <c r="T18" s="87">
        <f>'Contribution Ex Tac'!T16</f>
        <v>-196168</v>
      </c>
      <c r="U18" s="87"/>
      <c r="V18" s="87">
        <f>'Contribution Ex Tac'!V16</f>
        <v>-131545</v>
      </c>
      <c r="W18" s="87">
        <f>'Contribution Ex Tac'!W16</f>
        <v>-129491</v>
      </c>
      <c r="X18" s="87">
        <f>'Contribution Ex Tac'!X16</f>
        <v>-129047</v>
      </c>
      <c r="Y18" s="87">
        <f>'Contribution Ex Tac'!Y16</f>
        <v>-189092</v>
      </c>
      <c r="AA18" s="87">
        <f>'Contribution Ex Tac'!AA16</f>
        <v>-120022</v>
      </c>
      <c r="AB18" s="87">
        <f>'Contribution Ex Tac'!AB16</f>
        <v>-115317</v>
      </c>
      <c r="AC18" s="87">
        <f>'Contribution Ex Tac'!AC16</f>
        <v>-130756</v>
      </c>
      <c r="AD18" s="87">
        <f>'Contribution Ex Tac'!AD16</f>
        <v>-203341</v>
      </c>
      <c r="AE18" s="87"/>
      <c r="AF18" s="87">
        <f>'Contribution Ex Tac'!AF16</f>
        <v>-127628</v>
      </c>
      <c r="AG18" s="87">
        <f>'Contribution Ex Tac'!AG16</f>
        <v>-134332</v>
      </c>
      <c r="AH18" s="87">
        <f>'Contribution Ex Tac'!AH16</f>
        <v>-116796</v>
      </c>
      <c r="AI18" s="87"/>
      <c r="AJ18" s="87">
        <f>'Contribution Ex Tac'!AJ16</f>
        <v>0</v>
      </c>
      <c r="AK18" s="87">
        <f>'Contribution Ex Tac'!AK16</f>
        <v>0</v>
      </c>
      <c r="AL18" s="87">
        <f>'Contribution Ex Tac'!AL16</f>
        <v>0</v>
      </c>
      <c r="AM18" s="87"/>
    </row>
    <row r="19" spans="1:39" ht="15" hidden="1" customHeight="1" x14ac:dyDescent="0.25">
      <c r="A19" s="28" t="s">
        <v>176</v>
      </c>
      <c r="B19" s="87">
        <f>'Contribution Ex Tac'!B17</f>
        <v>-78158</v>
      </c>
      <c r="C19" s="87">
        <f>'Contribution Ex Tac'!C17</f>
        <v>-73155</v>
      </c>
      <c r="D19" s="87">
        <f>'Contribution Ex Tac'!D17</f>
        <v>-79710</v>
      </c>
      <c r="E19" s="87">
        <f>'Contribution Ex Tac'!E17</f>
        <v>-82905</v>
      </c>
      <c r="F19" s="87"/>
      <c r="G19" s="87">
        <f>'Contribution Ex Tac'!G17</f>
        <v>-91185</v>
      </c>
      <c r="H19" s="87">
        <f>'Contribution Ex Tac'!H17</f>
        <v>-86820</v>
      </c>
      <c r="I19" s="87">
        <f>'Contribution Ex Tac'!I17</f>
        <v>-87092</v>
      </c>
      <c r="J19" s="87">
        <f>'Contribution Ex Tac'!J17</f>
        <v>-108567</v>
      </c>
      <c r="K19" s="87"/>
      <c r="L19" s="87">
        <f>'Contribution Ex Tac'!L17</f>
        <v>-107583</v>
      </c>
      <c r="M19" s="87">
        <f>'Contribution Ex Tac'!M17</f>
        <v>-106605</v>
      </c>
      <c r="N19" s="87">
        <f>'Contribution Ex Tac'!N17</f>
        <v>-115446</v>
      </c>
      <c r="O19" s="87">
        <f>'Contribution Ex Tac'!O17</f>
        <v>-120662</v>
      </c>
      <c r="P19" s="87"/>
      <c r="Q19" s="87">
        <f>'Contribution Ex Tac'!Q17</f>
        <v>-119893</v>
      </c>
      <c r="R19" s="87">
        <f>'Contribution Ex Tac'!R17</f>
        <v>-112577</v>
      </c>
      <c r="S19" s="87">
        <f>'Contribution Ex Tac'!S17</f>
        <v>-111131</v>
      </c>
      <c r="T19" s="87">
        <f>'Contribution Ex Tac'!T17</f>
        <v>-128053</v>
      </c>
      <c r="U19" s="87"/>
      <c r="V19" s="87">
        <f>'Contribution Ex Tac'!V17</f>
        <v>-117291</v>
      </c>
      <c r="W19" s="87">
        <f>'Contribution Ex Tac'!W17</f>
        <v>-107401</v>
      </c>
      <c r="X19" s="87">
        <f>'Contribution Ex Tac'!X17</f>
        <v>-103899</v>
      </c>
      <c r="Y19" s="87">
        <f>'Contribution Ex Tac'!Y17</f>
        <v>-124939</v>
      </c>
      <c r="AA19" s="87">
        <f>'Contribution Ex Tac'!AA17</f>
        <v>-108397</v>
      </c>
      <c r="AB19" s="87">
        <f>'Contribution Ex Tac'!AB17</f>
        <v>-90153</v>
      </c>
      <c r="AC19" s="87">
        <f>'Contribution Ex Tac'!AC17</f>
        <v>-97272</v>
      </c>
      <c r="AD19" s="87">
        <f>'Contribution Ex Tac'!AD17</f>
        <v>-137384</v>
      </c>
      <c r="AE19" s="87"/>
      <c r="AF19" s="87">
        <f>'Contribution Ex Tac'!AF17</f>
        <v>-126648</v>
      </c>
      <c r="AG19" s="87">
        <f>'Contribution Ex Tac'!AG17</f>
        <v>-124747</v>
      </c>
      <c r="AH19" s="87">
        <f>'Contribution Ex Tac'!AH17</f>
        <v>-111869</v>
      </c>
      <c r="AI19" s="87"/>
      <c r="AJ19" s="87">
        <f>'Contribution Ex Tac'!AJ17</f>
        <v>0</v>
      </c>
      <c r="AK19" s="87">
        <f>'Contribution Ex Tac'!AK17</f>
        <v>0</v>
      </c>
      <c r="AL19" s="87">
        <f>'Contribution Ex Tac'!AL17</f>
        <v>0</v>
      </c>
      <c r="AM19" s="87"/>
    </row>
    <row r="20" spans="1:39" ht="15" hidden="1" customHeight="1" x14ac:dyDescent="0.25">
      <c r="A20" s="28" t="s">
        <v>266</v>
      </c>
      <c r="B20" s="87">
        <f>'Contribution Ex Tac'!B18</f>
        <v>-36486</v>
      </c>
      <c r="C20" s="87">
        <f>'Contribution Ex Tac'!C18</f>
        <v>-37231</v>
      </c>
      <c r="D20" s="87">
        <f>'Contribution Ex Tac'!D18</f>
        <v>-43576</v>
      </c>
      <c r="E20" s="87">
        <f>'Contribution Ex Tac'!E18</f>
        <v>-49505</v>
      </c>
      <c r="F20" s="87"/>
      <c r="G20" s="87">
        <f>'Contribution Ex Tac'!G18</f>
        <v>-56641</v>
      </c>
      <c r="H20" s="87">
        <f>'Contribution Ex Tac'!H18</f>
        <v>-57589</v>
      </c>
      <c r="I20" s="87">
        <f>'Contribution Ex Tac'!I18</f>
        <v>-62979</v>
      </c>
      <c r="J20" s="87">
        <f>'Contribution Ex Tac'!J18</f>
        <v>-66264</v>
      </c>
      <c r="K20" s="87"/>
      <c r="L20" s="87">
        <f>'Contribution Ex Tac'!L18</f>
        <v>-70243</v>
      </c>
      <c r="M20" s="87">
        <f>'Contribution Ex Tac'!M18</f>
        <v>-70306</v>
      </c>
      <c r="N20" s="87">
        <f>'Contribution Ex Tac'!N18</f>
        <v>-72261</v>
      </c>
      <c r="O20" s="87">
        <f>'Contribution Ex Tac'!O18</f>
        <v>-73057</v>
      </c>
      <c r="P20" s="87"/>
      <c r="Q20" s="87">
        <f>'Contribution Ex Tac'!Q18</f>
        <v>-72332</v>
      </c>
      <c r="R20" s="87">
        <f>'Contribution Ex Tac'!R18</f>
        <v>-68884</v>
      </c>
      <c r="S20" s="87">
        <f>'Contribution Ex Tac'!S18</f>
        <v>-67850</v>
      </c>
      <c r="T20" s="87">
        <f>'Contribution Ex Tac'!T18</f>
        <v>-74017</v>
      </c>
      <c r="U20" s="87"/>
      <c r="V20" s="87">
        <f>'Contribution Ex Tac'!V18</f>
        <v>-73593</v>
      </c>
      <c r="W20" s="87">
        <f>'Contribution Ex Tac'!W18</f>
        <v>-67337</v>
      </c>
      <c r="X20" s="87">
        <f>'Contribution Ex Tac'!X18</f>
        <v>-68955</v>
      </c>
      <c r="Y20" s="87">
        <f>'Contribution Ex Tac'!Y18</f>
        <v>-72357</v>
      </c>
      <c r="AA20" s="87">
        <f>'Contribution Ex Tac'!AA18</f>
        <v>-68945</v>
      </c>
      <c r="AB20" s="87">
        <f>'Contribution Ex Tac'!AB18</f>
        <v>-52228</v>
      </c>
      <c r="AC20" s="87">
        <f>'Contribution Ex Tac'!AC18</f>
        <v>-56373</v>
      </c>
      <c r="AD20" s="87">
        <f>'Contribution Ex Tac'!AD18</f>
        <v>-67383</v>
      </c>
      <c r="AE20" s="87"/>
      <c r="AF20" s="87">
        <f>'Contribution Ex Tac'!AF18</f>
        <v>-73391</v>
      </c>
      <c r="AG20" s="87">
        <f>'Contribution Ex Tac'!AG18</f>
        <v>-71999</v>
      </c>
      <c r="AH20" s="87">
        <f>'Contribution Ex Tac'!AH18</f>
        <v>-68954</v>
      </c>
      <c r="AI20" s="87"/>
      <c r="AJ20" s="87">
        <f>'Contribution Ex Tac'!AJ18</f>
        <v>0</v>
      </c>
      <c r="AK20" s="87">
        <f>'Contribution Ex Tac'!AK18</f>
        <v>0</v>
      </c>
      <c r="AL20" s="87">
        <f>'Contribution Ex Tac'!AL18</f>
        <v>0</v>
      </c>
      <c r="AM20" s="87"/>
    </row>
    <row r="21" spans="1:39" ht="15" hidden="1" customHeight="1" x14ac:dyDescent="0.25">
      <c r="A21" s="28"/>
      <c r="B21" s="87"/>
      <c r="C21" s="87"/>
      <c r="D21" s="87"/>
      <c r="E21" s="87"/>
      <c r="F21" s="87"/>
      <c r="G21" s="87"/>
      <c r="H21" s="87"/>
      <c r="I21" s="87"/>
      <c r="J21" s="87"/>
      <c r="K21" s="87"/>
      <c r="L21" s="87"/>
      <c r="M21" s="87"/>
      <c r="N21" s="87"/>
      <c r="O21" s="87"/>
      <c r="P21" s="87"/>
      <c r="Q21" s="87"/>
      <c r="R21" s="87"/>
      <c r="S21" s="87"/>
      <c r="T21" s="87"/>
      <c r="U21" s="87"/>
      <c r="V21" s="87"/>
      <c r="W21" s="87"/>
      <c r="X21" s="87"/>
      <c r="Y21" s="87"/>
      <c r="AA21" s="87"/>
      <c r="AB21" s="87"/>
      <c r="AC21" s="87"/>
      <c r="AD21" s="87"/>
      <c r="AE21" s="87"/>
      <c r="AF21" s="87"/>
      <c r="AG21" s="87"/>
      <c r="AH21" s="87"/>
      <c r="AI21" s="87"/>
      <c r="AJ21" s="87"/>
      <c r="AK21" s="87"/>
      <c r="AL21" s="87"/>
      <c r="AM21" s="87"/>
    </row>
    <row r="22" spans="1:39" ht="15" customHeight="1" x14ac:dyDescent="0.25">
      <c r="A22" s="26" t="s">
        <v>269</v>
      </c>
      <c r="B22" s="87"/>
      <c r="C22" s="87"/>
      <c r="D22" s="87"/>
      <c r="E22" s="87"/>
      <c r="F22" s="87"/>
      <c r="G22" s="87"/>
      <c r="H22" s="87"/>
      <c r="I22" s="87"/>
      <c r="J22" s="87"/>
      <c r="K22" s="87"/>
      <c r="L22" s="87"/>
      <c r="M22" s="87"/>
      <c r="N22" s="87"/>
      <c r="O22" s="87"/>
      <c r="P22" s="87"/>
      <c r="Q22" s="149" t="s">
        <v>267</v>
      </c>
      <c r="R22" s="149" t="s">
        <v>267</v>
      </c>
      <c r="S22" s="149" t="s">
        <v>267</v>
      </c>
      <c r="T22" s="149" t="s">
        <v>267</v>
      </c>
      <c r="U22" s="149" t="s">
        <v>267</v>
      </c>
      <c r="V22" s="149" t="s">
        <v>267</v>
      </c>
      <c r="W22" s="149" t="s">
        <v>267</v>
      </c>
      <c r="X22" s="149" t="s">
        <v>267</v>
      </c>
      <c r="Y22" s="149" t="s">
        <v>267</v>
      </c>
      <c r="AA22" s="86">
        <f t="shared" ref="AA22:AE22" si="8">SUM(AA23:AA24)</f>
        <v>-297364</v>
      </c>
      <c r="AB22" s="86">
        <f t="shared" si="8"/>
        <v>-257698</v>
      </c>
      <c r="AC22" s="86">
        <f t="shared" si="8"/>
        <v>-284401</v>
      </c>
      <c r="AD22" s="86">
        <f t="shared" si="8"/>
        <v>-408108</v>
      </c>
      <c r="AE22" s="86">
        <f t="shared" si="8"/>
        <v>-1247571</v>
      </c>
      <c r="AF22" s="86">
        <f>SUM(AF23:AF24)</f>
        <v>-327667</v>
      </c>
      <c r="AG22" s="86">
        <f t="shared" ref="AG22:AI22" si="9">SUM(AG23:AG24)</f>
        <v>-331078</v>
      </c>
      <c r="AH22" s="86">
        <f t="shared" si="9"/>
        <v>-297619</v>
      </c>
      <c r="AI22" s="86">
        <f t="shared" si="9"/>
        <v>-377076</v>
      </c>
      <c r="AJ22" s="86">
        <f>SUM(AJ23:AJ24)</f>
        <v>-293650</v>
      </c>
      <c r="AK22" s="86">
        <f t="shared" ref="AK22" si="10">SUM(AK23:AK24)</f>
        <v>-280565</v>
      </c>
      <c r="AL22" s="86">
        <f>SUM(AL23:AL24)</f>
        <v>-233543</v>
      </c>
      <c r="AM22" s="86">
        <f>SUM(AM23:AM24)</f>
        <v>-281021</v>
      </c>
    </row>
    <row r="23" spans="1:39" ht="15" customHeight="1" x14ac:dyDescent="0.25">
      <c r="A23" s="125" t="s">
        <v>181</v>
      </c>
      <c r="B23" s="87"/>
      <c r="C23" s="87"/>
      <c r="D23" s="87"/>
      <c r="E23" s="87"/>
      <c r="F23" s="87"/>
      <c r="G23" s="87"/>
      <c r="H23" s="87"/>
      <c r="I23" s="87"/>
      <c r="J23" s="87"/>
      <c r="K23" s="87"/>
      <c r="L23" s="87"/>
      <c r="M23" s="87"/>
      <c r="N23" s="87"/>
      <c r="O23" s="87"/>
      <c r="P23" s="87"/>
      <c r="Q23" s="149" t="s">
        <v>267</v>
      </c>
      <c r="R23" s="149" t="s">
        <v>267</v>
      </c>
      <c r="S23" s="149" t="s">
        <v>267</v>
      </c>
      <c r="T23" s="149" t="s">
        <v>267</v>
      </c>
      <c r="U23" s="149" t="s">
        <v>267</v>
      </c>
      <c r="V23" s="149" t="s">
        <v>267</v>
      </c>
      <c r="W23" s="149" t="s">
        <v>267</v>
      </c>
      <c r="X23" s="149" t="s">
        <v>267</v>
      </c>
      <c r="Y23" s="149" t="s">
        <v>267</v>
      </c>
      <c r="AA23" s="87">
        <f>'Contribution Ex Tac'!AA35</f>
        <v>-273057</v>
      </c>
      <c r="AB23" s="87">
        <f>'Contribution Ex Tac'!AB35</f>
        <v>-218990</v>
      </c>
      <c r="AC23" s="87">
        <f>'Contribution Ex Tac'!AC35</f>
        <v>-243616</v>
      </c>
      <c r="AD23" s="87">
        <f>'Contribution Ex Tac'!AD35</f>
        <v>-324017</v>
      </c>
      <c r="AE23" s="87">
        <f>'Contribution Ex Tac'!AE35</f>
        <v>-1059680</v>
      </c>
      <c r="AF23" s="87">
        <f>'Contribution Ex Tac'!AF35</f>
        <v>-290873</v>
      </c>
      <c r="AG23" s="87">
        <f>'Contribution Ex Tac'!AG35</f>
        <v>-294132</v>
      </c>
      <c r="AH23" s="87">
        <f>'Contribution Ex Tac'!AH35</f>
        <v>-276498</v>
      </c>
      <c r="AI23" s="87">
        <f>'Contribution Ex Tac'!AI35</f>
        <v>-349584</v>
      </c>
      <c r="AJ23" s="87">
        <f>'Contribution Ex Tac'!AK35</f>
        <v>-277800</v>
      </c>
      <c r="AK23" s="87">
        <f>'Contribution Ex Tac'!AL35</f>
        <v>-262454</v>
      </c>
      <c r="AL23" s="87">
        <v>-229266</v>
      </c>
      <c r="AM23" s="87">
        <f>'Contribution Ex Tac'!AN35</f>
        <v>-278302</v>
      </c>
    </row>
    <row r="24" spans="1:39" ht="15" customHeight="1" x14ac:dyDescent="0.25">
      <c r="A24" s="125" t="s">
        <v>268</v>
      </c>
      <c r="B24" s="87"/>
      <c r="C24" s="87"/>
      <c r="D24" s="87"/>
      <c r="E24" s="87"/>
      <c r="F24" s="87"/>
      <c r="G24" s="87"/>
      <c r="H24" s="87"/>
      <c r="I24" s="87"/>
      <c r="J24" s="87"/>
      <c r="K24" s="87"/>
      <c r="L24" s="87"/>
      <c r="M24" s="87"/>
      <c r="N24" s="87"/>
      <c r="O24" s="87"/>
      <c r="P24" s="87"/>
      <c r="Q24" s="149" t="s">
        <v>267</v>
      </c>
      <c r="R24" s="149" t="s">
        <v>267</v>
      </c>
      <c r="S24" s="149" t="s">
        <v>267</v>
      </c>
      <c r="T24" s="149" t="s">
        <v>267</v>
      </c>
      <c r="U24" s="149" t="s">
        <v>267</v>
      </c>
      <c r="V24" s="149" t="s">
        <v>267</v>
      </c>
      <c r="W24" s="149" t="s">
        <v>267</v>
      </c>
      <c r="X24" s="149" t="s">
        <v>267</v>
      </c>
      <c r="Y24" s="149" t="s">
        <v>267</v>
      </c>
      <c r="AA24" s="87">
        <f>'Contribution Ex Tac'!AA36</f>
        <v>-24307</v>
      </c>
      <c r="AB24" s="87">
        <f>'Contribution Ex Tac'!AB36</f>
        <v>-38708</v>
      </c>
      <c r="AC24" s="87">
        <f>'Contribution Ex Tac'!AC36</f>
        <v>-40785</v>
      </c>
      <c r="AD24" s="87">
        <f>'Contribution Ex Tac'!AD36</f>
        <v>-84091</v>
      </c>
      <c r="AE24" s="87">
        <f>'Contribution Ex Tac'!AE36</f>
        <v>-187891</v>
      </c>
      <c r="AF24" s="87">
        <f>'Contribution Ex Tac'!AF36</f>
        <v>-36794</v>
      </c>
      <c r="AG24" s="87">
        <f>'Contribution Ex Tac'!AG36</f>
        <v>-36946</v>
      </c>
      <c r="AH24" s="87">
        <f>'Contribution Ex Tac'!AH36</f>
        <v>-21121</v>
      </c>
      <c r="AI24" s="87">
        <f>'Contribution Ex Tac'!AI36</f>
        <v>-27492</v>
      </c>
      <c r="AJ24" s="87">
        <f>'Contribution Ex Tac'!AK36</f>
        <v>-15850</v>
      </c>
      <c r="AK24" s="87">
        <f>'Contribution Ex Tac'!AL36</f>
        <v>-18111</v>
      </c>
      <c r="AL24" s="87">
        <v>-4277</v>
      </c>
      <c r="AM24" s="87">
        <f>'Contribution Ex Tac'!AN36</f>
        <v>-2719</v>
      </c>
    </row>
    <row r="25" spans="1:39" ht="15" customHeight="1" x14ac:dyDescent="0.25">
      <c r="A25" s="125" t="s">
        <v>183</v>
      </c>
      <c r="B25" s="87"/>
      <c r="C25" s="87"/>
      <c r="D25" s="87"/>
      <c r="E25" s="87"/>
      <c r="F25" s="87"/>
      <c r="G25" s="87"/>
      <c r="H25" s="87"/>
      <c r="I25" s="87"/>
      <c r="J25" s="87"/>
      <c r="K25" s="87"/>
      <c r="L25" s="87"/>
      <c r="M25" s="87"/>
      <c r="N25" s="87"/>
      <c r="O25" s="87"/>
      <c r="P25" s="87"/>
      <c r="Q25" s="149"/>
      <c r="R25" s="149"/>
      <c r="S25" s="149"/>
      <c r="T25" s="149"/>
      <c r="U25" s="149"/>
      <c r="V25" s="149"/>
      <c r="W25" s="149"/>
      <c r="X25" s="149"/>
      <c r="Y25" s="149"/>
      <c r="AA25" s="87"/>
      <c r="AB25" s="87"/>
      <c r="AC25" s="87"/>
      <c r="AD25" s="87"/>
      <c r="AE25" s="87"/>
      <c r="AF25" s="87"/>
      <c r="AG25" s="87"/>
      <c r="AH25" s="87"/>
      <c r="AI25" s="87"/>
      <c r="AJ25" s="87"/>
      <c r="AK25" s="87"/>
      <c r="AL25" s="87">
        <v>0</v>
      </c>
      <c r="AM25" s="87"/>
    </row>
    <row r="26" spans="1:39" ht="15" customHeight="1" x14ac:dyDescent="0.25">
      <c r="A26" s="27"/>
      <c r="B26" s="88"/>
      <c r="C26" s="88"/>
      <c r="D26" s="88"/>
      <c r="E26" s="88"/>
      <c r="F26" s="88"/>
      <c r="G26" s="88"/>
      <c r="H26" s="88"/>
      <c r="I26" s="88"/>
      <c r="J26" s="88"/>
      <c r="K26" s="88"/>
      <c r="L26" s="88"/>
      <c r="M26" s="88"/>
      <c r="N26" s="88"/>
      <c r="O26" s="88"/>
      <c r="P26" s="88"/>
      <c r="Q26" s="88"/>
      <c r="R26" s="88"/>
      <c r="S26" s="88"/>
      <c r="T26" s="88"/>
      <c r="U26" s="88"/>
      <c r="V26" s="88"/>
      <c r="W26" s="88"/>
      <c r="X26" s="88"/>
      <c r="Y26" s="88"/>
      <c r="AA26" s="88"/>
      <c r="AB26" s="88"/>
      <c r="AC26" s="88"/>
      <c r="AD26" s="88"/>
      <c r="AE26" s="88"/>
      <c r="AF26" s="88"/>
      <c r="AG26" s="88"/>
      <c r="AH26" s="88"/>
      <c r="AI26" s="88"/>
      <c r="AJ26" s="88"/>
      <c r="AK26" s="88"/>
      <c r="AL26" s="88"/>
      <c r="AM26" s="88"/>
    </row>
    <row r="27" spans="1:39" ht="15" hidden="1" customHeight="1" x14ac:dyDescent="0.25">
      <c r="A27" s="26" t="s">
        <v>270</v>
      </c>
      <c r="B27" s="86">
        <f t="shared" ref="B27:E27" si="11">SUM(B28:B30)</f>
        <v>118284</v>
      </c>
      <c r="C27" s="86">
        <f t="shared" si="11"/>
        <v>122067</v>
      </c>
      <c r="D27" s="86">
        <f t="shared" si="11"/>
        <v>133704</v>
      </c>
      <c r="E27" s="86">
        <f t="shared" si="11"/>
        <v>159962</v>
      </c>
      <c r="F27" s="86"/>
      <c r="G27" s="86">
        <f t="shared" ref="G27:J27" si="12">SUM(G28:G30)</f>
        <v>162498</v>
      </c>
      <c r="H27" s="86">
        <f t="shared" si="12"/>
        <v>166232</v>
      </c>
      <c r="I27" s="86">
        <f t="shared" si="12"/>
        <v>176557</v>
      </c>
      <c r="J27" s="86">
        <f t="shared" si="12"/>
        <v>224948</v>
      </c>
      <c r="K27" s="86"/>
      <c r="L27" s="86">
        <f t="shared" ref="L27:O27" si="13">SUM(L28:L30)</f>
        <v>209974</v>
      </c>
      <c r="M27" s="86">
        <f t="shared" si="13"/>
        <v>219822</v>
      </c>
      <c r="N27" s="86">
        <f t="shared" si="13"/>
        <v>234397</v>
      </c>
      <c r="O27" s="86">
        <f t="shared" si="13"/>
        <v>276944</v>
      </c>
      <c r="P27" s="86"/>
      <c r="Q27" s="86">
        <f>SUM(Q28:Q30)</f>
        <v>240418</v>
      </c>
      <c r="R27" s="86">
        <f>SUM(R28:R30)</f>
        <v>230222</v>
      </c>
      <c r="S27" s="86">
        <f>SUM(S28:S30)</f>
        <v>223482</v>
      </c>
      <c r="T27" s="86">
        <f>SUM(T28:T30)</f>
        <v>271858</v>
      </c>
      <c r="U27" s="86"/>
      <c r="V27" s="86">
        <f>SUM(V28:V30)</f>
        <v>235694</v>
      </c>
      <c r="W27" s="86">
        <f>SUM(W28:W30)</f>
        <v>223918</v>
      </c>
      <c r="X27" s="86">
        <f>SUM(X28:X30)</f>
        <v>220705</v>
      </c>
      <c r="Y27" s="86">
        <f>SUM(Y28:Y30)</f>
        <v>266252</v>
      </c>
      <c r="AA27" s="86">
        <f>SUM(AA28:AA30)</f>
        <v>206012</v>
      </c>
      <c r="AB27" s="86">
        <f>SUM(AB28:AB30)</f>
        <v>179916</v>
      </c>
      <c r="AC27" s="86">
        <f>SUM(AC28:AC30)</f>
        <v>185944</v>
      </c>
      <c r="AD27" s="86">
        <f>SUM(AD28:AD30)</f>
        <v>253174</v>
      </c>
      <c r="AE27" s="86"/>
      <c r="AF27" s="86">
        <f>SUM(AF28:AF30)</f>
        <v>213410</v>
      </c>
      <c r="AG27" s="86">
        <f>SUM(AG28:AG30)</f>
        <v>220233</v>
      </c>
      <c r="AH27" s="86">
        <f>SUM(AH28:AH30)</f>
        <v>210961</v>
      </c>
      <c r="AI27" s="86"/>
      <c r="AJ27" s="86">
        <f>SUM(AJ28:AJ30)</f>
        <v>510567</v>
      </c>
      <c r="AK27" s="86">
        <f>SUM(AK28:AK30)</f>
        <v>495090</v>
      </c>
      <c r="AL27" s="86">
        <f>SUM(AL28:AL30)</f>
        <v>446921</v>
      </c>
      <c r="AM27" s="86"/>
    </row>
    <row r="28" spans="1:39" ht="15" hidden="1" customHeight="1" x14ac:dyDescent="0.25">
      <c r="A28" s="28" t="s">
        <v>175</v>
      </c>
      <c r="B28" s="87">
        <f t="shared" ref="B28:E28" si="14">B8+B18</f>
        <v>39380</v>
      </c>
      <c r="C28" s="87">
        <f t="shared" si="14"/>
        <v>44019</v>
      </c>
      <c r="D28" s="87">
        <f t="shared" si="14"/>
        <v>48340</v>
      </c>
      <c r="E28" s="87">
        <f t="shared" si="14"/>
        <v>65487</v>
      </c>
      <c r="F28" s="87"/>
      <c r="G28" s="87">
        <f t="shared" ref="G28:I28" si="15">G8+G18</f>
        <v>56245</v>
      </c>
      <c r="H28" s="87">
        <f t="shared" si="15"/>
        <v>59962</v>
      </c>
      <c r="I28" s="87">
        <f t="shared" si="15"/>
        <v>63500</v>
      </c>
      <c r="J28" s="87">
        <f>J8+J18-1</f>
        <v>99391</v>
      </c>
      <c r="K28" s="87"/>
      <c r="L28" s="87">
        <f t="shared" ref="L28:O28" si="16">L8+L18</f>
        <v>79146</v>
      </c>
      <c r="M28" s="87">
        <f t="shared" si="16"/>
        <v>84103</v>
      </c>
      <c r="N28" s="87">
        <f t="shared" si="16"/>
        <v>86457</v>
      </c>
      <c r="O28" s="87">
        <f t="shared" si="16"/>
        <v>121328</v>
      </c>
      <c r="P28" s="87"/>
      <c r="Q28" s="87">
        <f t="shared" ref="Q28:R30" si="17">Q8+Q18</f>
        <v>81174</v>
      </c>
      <c r="R28" s="87">
        <f t="shared" si="17"/>
        <v>87279</v>
      </c>
      <c r="S28" s="87">
        <f t="shared" ref="S28:T28" si="18">S8+S18</f>
        <v>84841</v>
      </c>
      <c r="T28" s="87">
        <f t="shared" si="18"/>
        <v>121182</v>
      </c>
      <c r="U28" s="87"/>
      <c r="V28" s="87">
        <f t="shared" ref="V28:Y28" si="19">V8+V18</f>
        <v>86448</v>
      </c>
      <c r="W28" s="87">
        <f t="shared" si="19"/>
        <v>84483</v>
      </c>
      <c r="X28" s="87">
        <f t="shared" si="19"/>
        <v>84890</v>
      </c>
      <c r="Y28" s="87">
        <f t="shared" si="19"/>
        <v>117158</v>
      </c>
      <c r="AA28" s="87">
        <f t="shared" ref="AA28:AD28" si="20">AA8+AA18</f>
        <v>71723</v>
      </c>
      <c r="AB28" s="87">
        <f t="shared" si="20"/>
        <v>70357</v>
      </c>
      <c r="AC28" s="87">
        <f t="shared" si="20"/>
        <v>73862</v>
      </c>
      <c r="AD28" s="87">
        <f t="shared" si="20"/>
        <v>109476</v>
      </c>
      <c r="AE28" s="87"/>
      <c r="AF28" s="87">
        <f t="shared" ref="AF28:AH28" si="21">AF8+AF18</f>
        <v>76272</v>
      </c>
      <c r="AG28" s="87">
        <f t="shared" si="21"/>
        <v>86895</v>
      </c>
      <c r="AH28" s="87">
        <f t="shared" si="21"/>
        <v>87632</v>
      </c>
      <c r="AI28" s="87"/>
      <c r="AJ28" s="87">
        <f t="shared" ref="AJ28:AL28" si="22">AJ8+AJ18</f>
        <v>194847</v>
      </c>
      <c r="AK28" s="87">
        <f t="shared" si="22"/>
        <v>213340</v>
      </c>
      <c r="AL28" s="87">
        <f t="shared" si="22"/>
        <v>201274</v>
      </c>
      <c r="AM28" s="87"/>
    </row>
    <row r="29" spans="1:39" ht="15" hidden="1" customHeight="1" x14ac:dyDescent="0.25">
      <c r="A29" s="28" t="s">
        <v>176</v>
      </c>
      <c r="B29" s="87">
        <f t="shared" ref="B29:E29" si="23">B9+B19</f>
        <v>54050</v>
      </c>
      <c r="C29" s="87">
        <f t="shared" si="23"/>
        <v>53652</v>
      </c>
      <c r="D29" s="87">
        <f t="shared" si="23"/>
        <v>57475</v>
      </c>
      <c r="E29" s="87">
        <f t="shared" si="23"/>
        <v>62000</v>
      </c>
      <c r="F29" s="87"/>
      <c r="G29" s="87">
        <f t="shared" ref="G29:J29" si="24">G9+G19</f>
        <v>68220</v>
      </c>
      <c r="H29" s="87">
        <f t="shared" si="24"/>
        <v>67079</v>
      </c>
      <c r="I29" s="87">
        <f t="shared" si="24"/>
        <v>70829</v>
      </c>
      <c r="J29" s="87">
        <f t="shared" si="24"/>
        <v>80731</v>
      </c>
      <c r="K29" s="87"/>
      <c r="L29" s="87">
        <f t="shared" ref="L29:O29" si="25">L9+L19</f>
        <v>81509</v>
      </c>
      <c r="M29" s="87">
        <f t="shared" si="25"/>
        <v>85077</v>
      </c>
      <c r="N29" s="87">
        <f t="shared" si="25"/>
        <v>91722</v>
      </c>
      <c r="O29" s="87">
        <f t="shared" si="25"/>
        <v>100357</v>
      </c>
      <c r="P29" s="87"/>
      <c r="Q29" s="87">
        <f t="shared" si="17"/>
        <v>102718</v>
      </c>
      <c r="R29" s="87">
        <f t="shared" si="17"/>
        <v>88503</v>
      </c>
      <c r="S29" s="87">
        <f t="shared" ref="S29:T29" si="26">S9+S19</f>
        <v>84099</v>
      </c>
      <c r="T29" s="87">
        <f t="shared" si="26"/>
        <v>92851</v>
      </c>
      <c r="U29" s="87"/>
      <c r="V29" s="87">
        <f t="shared" ref="V29:Y29" si="27">V9+V19</f>
        <v>92352</v>
      </c>
      <c r="W29" s="87">
        <f t="shared" si="27"/>
        <v>86958</v>
      </c>
      <c r="X29" s="87">
        <f t="shared" si="27"/>
        <v>81657</v>
      </c>
      <c r="Y29" s="87">
        <f t="shared" si="27"/>
        <v>91700</v>
      </c>
      <c r="AA29" s="87">
        <f t="shared" ref="AA29:AD29" si="28">AA9+AA19</f>
        <v>81717</v>
      </c>
      <c r="AB29" s="87">
        <f t="shared" si="28"/>
        <v>69468</v>
      </c>
      <c r="AC29" s="87">
        <f t="shared" si="28"/>
        <v>70528</v>
      </c>
      <c r="AD29" s="87">
        <f t="shared" si="28"/>
        <v>94753</v>
      </c>
      <c r="AE29" s="87"/>
      <c r="AF29" s="87">
        <f t="shared" ref="AF29:AH29" si="29">AF9+AF19</f>
        <v>85448</v>
      </c>
      <c r="AG29" s="87">
        <f t="shared" si="29"/>
        <v>84556</v>
      </c>
      <c r="AH29" s="87">
        <f t="shared" si="29"/>
        <v>76485</v>
      </c>
      <c r="AI29" s="87"/>
      <c r="AJ29" s="87">
        <f t="shared" ref="AJ29:AL29" si="30">AJ9+AJ19</f>
        <v>193954</v>
      </c>
      <c r="AK29" s="87">
        <f t="shared" si="30"/>
        <v>176867</v>
      </c>
      <c r="AL29" s="87">
        <f t="shared" si="30"/>
        <v>150915</v>
      </c>
      <c r="AM29" s="87"/>
    </row>
    <row r="30" spans="1:39" ht="15" hidden="1" customHeight="1" x14ac:dyDescent="0.25">
      <c r="A30" s="28" t="s">
        <v>266</v>
      </c>
      <c r="B30" s="87">
        <f t="shared" ref="B30:E30" si="31">B10+B20</f>
        <v>24854</v>
      </c>
      <c r="C30" s="87">
        <f t="shared" si="31"/>
        <v>24396</v>
      </c>
      <c r="D30" s="87">
        <f t="shared" si="31"/>
        <v>27889</v>
      </c>
      <c r="E30" s="87">
        <f t="shared" si="31"/>
        <v>32475</v>
      </c>
      <c r="F30" s="87"/>
      <c r="G30" s="87">
        <f t="shared" ref="G30:I30" si="32">G10+G20</f>
        <v>38033</v>
      </c>
      <c r="H30" s="87">
        <f t="shared" si="32"/>
        <v>39191</v>
      </c>
      <c r="I30" s="87">
        <f t="shared" si="32"/>
        <v>42228</v>
      </c>
      <c r="J30" s="87">
        <f>J10+J20+1</f>
        <v>44826</v>
      </c>
      <c r="K30" s="87"/>
      <c r="L30" s="87">
        <f t="shared" ref="L30:O30" si="33">L10+L20</f>
        <v>49319</v>
      </c>
      <c r="M30" s="87">
        <f t="shared" si="33"/>
        <v>50642</v>
      </c>
      <c r="N30" s="87">
        <f t="shared" si="33"/>
        <v>56218</v>
      </c>
      <c r="O30" s="87">
        <f t="shared" si="33"/>
        <v>55259</v>
      </c>
      <c r="P30" s="87"/>
      <c r="Q30" s="87">
        <f t="shared" si="17"/>
        <v>56526</v>
      </c>
      <c r="R30" s="87">
        <f t="shared" si="17"/>
        <v>54440</v>
      </c>
      <c r="S30" s="87">
        <f t="shared" ref="S30:T30" si="34">S10+S20</f>
        <v>54542</v>
      </c>
      <c r="T30" s="87">
        <f t="shared" si="34"/>
        <v>57825</v>
      </c>
      <c r="U30" s="87"/>
      <c r="V30" s="87">
        <f t="shared" ref="V30:Y30" si="35">V10+V20</f>
        <v>56894</v>
      </c>
      <c r="W30" s="87">
        <f t="shared" si="35"/>
        <v>52477</v>
      </c>
      <c r="X30" s="87">
        <f t="shared" si="35"/>
        <v>54158</v>
      </c>
      <c r="Y30" s="87">
        <f t="shared" si="35"/>
        <v>57394</v>
      </c>
      <c r="AA30" s="87">
        <f t="shared" ref="AA30:AD30" si="36">AA10+AA20</f>
        <v>52572</v>
      </c>
      <c r="AB30" s="87">
        <f t="shared" si="36"/>
        <v>40091</v>
      </c>
      <c r="AC30" s="87">
        <f t="shared" si="36"/>
        <v>41554</v>
      </c>
      <c r="AD30" s="87">
        <f t="shared" si="36"/>
        <v>48945</v>
      </c>
      <c r="AE30" s="87"/>
      <c r="AF30" s="87">
        <f t="shared" ref="AF30:AH30" si="37">AF10+AF20</f>
        <v>51690</v>
      </c>
      <c r="AG30" s="87">
        <f t="shared" si="37"/>
        <v>48782</v>
      </c>
      <c r="AH30" s="87">
        <f t="shared" si="37"/>
        <v>46844</v>
      </c>
      <c r="AI30" s="87"/>
      <c r="AJ30" s="87">
        <f t="shared" ref="AJ30:AL30" si="38">AJ10+AJ20</f>
        <v>121766</v>
      </c>
      <c r="AK30" s="87">
        <f t="shared" si="38"/>
        <v>104883</v>
      </c>
      <c r="AL30" s="87">
        <f t="shared" si="38"/>
        <v>94732</v>
      </c>
      <c r="AM30" s="87"/>
    </row>
    <row r="31" spans="1:39" ht="15" hidden="1" customHeight="1" x14ac:dyDescent="0.25">
      <c r="A31" s="28"/>
      <c r="B31" s="87"/>
      <c r="C31" s="87"/>
      <c r="D31" s="87"/>
      <c r="E31" s="87"/>
      <c r="F31" s="87"/>
      <c r="G31" s="87"/>
      <c r="H31" s="87"/>
      <c r="I31" s="87"/>
      <c r="J31" s="87"/>
      <c r="K31" s="87"/>
      <c r="L31" s="87"/>
      <c r="M31" s="87"/>
      <c r="N31" s="87"/>
      <c r="O31" s="87"/>
      <c r="P31" s="87"/>
      <c r="Q31" s="87"/>
      <c r="R31" s="87"/>
      <c r="S31" s="87"/>
      <c r="T31" s="87"/>
      <c r="U31" s="87"/>
      <c r="V31" s="87"/>
      <c r="W31" s="87"/>
      <c r="X31" s="87"/>
      <c r="Y31" s="87"/>
      <c r="AA31" s="87"/>
      <c r="AB31" s="87"/>
      <c r="AC31" s="87"/>
      <c r="AD31" s="87"/>
      <c r="AE31" s="87"/>
      <c r="AF31" s="87"/>
      <c r="AG31" s="87"/>
      <c r="AH31" s="87"/>
      <c r="AI31" s="87"/>
      <c r="AJ31" s="87"/>
      <c r="AK31" s="87"/>
      <c r="AL31" s="87"/>
      <c r="AM31" s="87"/>
    </row>
    <row r="32" spans="1:39" ht="15" customHeight="1" x14ac:dyDescent="0.25">
      <c r="A32" s="26" t="s">
        <v>2</v>
      </c>
      <c r="B32" s="87"/>
      <c r="C32" s="87"/>
      <c r="D32" s="87"/>
      <c r="E32" s="87"/>
      <c r="F32" s="87"/>
      <c r="G32" s="87"/>
      <c r="H32" s="87"/>
      <c r="I32" s="87"/>
      <c r="J32" s="87"/>
      <c r="K32" s="87"/>
      <c r="L32" s="87"/>
      <c r="M32" s="87"/>
      <c r="N32" s="87"/>
      <c r="O32" s="87"/>
      <c r="P32" s="87"/>
      <c r="Q32" s="149" t="s">
        <v>267</v>
      </c>
      <c r="R32" s="149" t="s">
        <v>267</v>
      </c>
      <c r="S32" s="149" t="s">
        <v>267</v>
      </c>
      <c r="T32" s="149" t="s">
        <v>267</v>
      </c>
      <c r="U32" s="149" t="s">
        <v>267</v>
      </c>
      <c r="V32" s="149" t="s">
        <v>267</v>
      </c>
      <c r="W32" s="149" t="s">
        <v>267</v>
      </c>
      <c r="X32" s="149" t="s">
        <v>267</v>
      </c>
      <c r="Y32" s="149" t="s">
        <v>267</v>
      </c>
      <c r="AA32" s="86">
        <f t="shared" ref="AA32:AF34" si="39">AA12+AA22</f>
        <v>206012</v>
      </c>
      <c r="AB32" s="86">
        <f t="shared" si="39"/>
        <v>179916</v>
      </c>
      <c r="AC32" s="86">
        <f t="shared" si="39"/>
        <v>185944</v>
      </c>
      <c r="AD32" s="86">
        <f t="shared" si="39"/>
        <v>253174</v>
      </c>
      <c r="AE32" s="86">
        <f t="shared" si="39"/>
        <v>825046</v>
      </c>
      <c r="AF32" s="86">
        <f t="shared" si="39"/>
        <v>213410</v>
      </c>
      <c r="AG32" s="86">
        <f t="shared" ref="AG32:AI32" si="40">AG12+AG22</f>
        <v>220233</v>
      </c>
      <c r="AH32" s="86">
        <f t="shared" si="40"/>
        <v>210961</v>
      </c>
      <c r="AI32" s="86">
        <f t="shared" si="40"/>
        <v>276191</v>
      </c>
      <c r="AJ32" s="86">
        <f>AJ12+AJ22</f>
        <v>216917</v>
      </c>
      <c r="AK32" s="86">
        <f>AK12+AK22</f>
        <v>214525</v>
      </c>
      <c r="AL32" s="86">
        <f>AL12+AL22</f>
        <v>213378</v>
      </c>
      <c r="AM32" s="86">
        <f>AM12+AM22</f>
        <v>283404</v>
      </c>
    </row>
    <row r="33" spans="1:39" ht="15" customHeight="1" x14ac:dyDescent="0.25">
      <c r="A33" s="125" t="s">
        <v>181</v>
      </c>
      <c r="B33" s="87"/>
      <c r="C33" s="87"/>
      <c r="D33" s="87"/>
      <c r="E33" s="87"/>
      <c r="F33" s="87"/>
      <c r="G33" s="87"/>
      <c r="H33" s="87"/>
      <c r="I33" s="87"/>
      <c r="J33" s="87"/>
      <c r="K33" s="87"/>
      <c r="L33" s="87"/>
      <c r="M33" s="87"/>
      <c r="N33" s="87"/>
      <c r="O33" s="87"/>
      <c r="P33" s="87"/>
      <c r="Q33" s="149" t="s">
        <v>267</v>
      </c>
      <c r="R33" s="149" t="s">
        <v>267</v>
      </c>
      <c r="S33" s="149" t="s">
        <v>267</v>
      </c>
      <c r="T33" s="149" t="s">
        <v>267</v>
      </c>
      <c r="U33" s="149" t="s">
        <v>267</v>
      </c>
      <c r="V33" s="149" t="s">
        <v>267</v>
      </c>
      <c r="W33" s="149" t="s">
        <v>267</v>
      </c>
      <c r="X33" s="149" t="s">
        <v>267</v>
      </c>
      <c r="Y33" s="149" t="s">
        <v>267</v>
      </c>
      <c r="AA33" s="87">
        <f t="shared" si="39"/>
        <v>196716</v>
      </c>
      <c r="AB33" s="87">
        <f t="shared" si="39"/>
        <v>162280</v>
      </c>
      <c r="AC33" s="87">
        <f t="shared" si="39"/>
        <v>168510</v>
      </c>
      <c r="AD33" s="87">
        <f t="shared" si="39"/>
        <v>219245</v>
      </c>
      <c r="AE33" s="87">
        <f t="shared" si="39"/>
        <v>746751</v>
      </c>
      <c r="AF33" s="87">
        <f t="shared" si="39"/>
        <v>192317</v>
      </c>
      <c r="AG33" s="87">
        <f t="shared" ref="AG33:AI34" si="41">AG13+AG23</f>
        <v>193333</v>
      </c>
      <c r="AH33" s="87">
        <f t="shared" si="41"/>
        <v>182124</v>
      </c>
      <c r="AI33" s="87">
        <f t="shared" si="41"/>
        <v>228378</v>
      </c>
      <c r="AJ33" s="87">
        <v>186088</v>
      </c>
      <c r="AK33" s="87">
        <f t="shared" ref="AK33" si="42">AK13+AK23</f>
        <v>177969</v>
      </c>
      <c r="AL33" s="87">
        <v>158022</v>
      </c>
      <c r="AM33" s="87">
        <f>AM13+AM23</f>
        <v>192616</v>
      </c>
    </row>
    <row r="34" spans="1:39" ht="15" customHeight="1" x14ac:dyDescent="0.25">
      <c r="A34" s="125" t="s">
        <v>268</v>
      </c>
      <c r="B34" s="87"/>
      <c r="C34" s="87"/>
      <c r="D34" s="87"/>
      <c r="E34" s="87"/>
      <c r="F34" s="87"/>
      <c r="G34" s="87"/>
      <c r="H34" s="87"/>
      <c r="I34" s="87"/>
      <c r="J34" s="87"/>
      <c r="K34" s="87"/>
      <c r="L34" s="87"/>
      <c r="M34" s="87"/>
      <c r="N34" s="87"/>
      <c r="O34" s="87"/>
      <c r="P34" s="87"/>
      <c r="Q34" s="149" t="s">
        <v>267</v>
      </c>
      <c r="R34" s="149" t="s">
        <v>267</v>
      </c>
      <c r="S34" s="149" t="s">
        <v>267</v>
      </c>
      <c r="T34" s="149" t="s">
        <v>267</v>
      </c>
      <c r="U34" s="149" t="s">
        <v>267</v>
      </c>
      <c r="V34" s="149" t="s">
        <v>267</v>
      </c>
      <c r="W34" s="149" t="s">
        <v>267</v>
      </c>
      <c r="X34" s="149" t="s">
        <v>267</v>
      </c>
      <c r="Y34" s="149" t="s">
        <v>267</v>
      </c>
      <c r="AA34" s="87">
        <f t="shared" si="39"/>
        <v>9296</v>
      </c>
      <c r="AB34" s="87">
        <f t="shared" si="39"/>
        <v>17636</v>
      </c>
      <c r="AC34" s="87">
        <f t="shared" si="39"/>
        <v>17434</v>
      </c>
      <c r="AD34" s="87">
        <f t="shared" si="39"/>
        <v>33929</v>
      </c>
      <c r="AE34" s="87">
        <f t="shared" si="39"/>
        <v>78295</v>
      </c>
      <c r="AF34" s="87">
        <f t="shared" si="39"/>
        <v>21093</v>
      </c>
      <c r="AG34" s="87">
        <f t="shared" si="41"/>
        <v>26900</v>
      </c>
      <c r="AH34" s="87">
        <f t="shared" si="41"/>
        <v>28837</v>
      </c>
      <c r="AI34" s="87">
        <f t="shared" si="41"/>
        <v>47813</v>
      </c>
      <c r="AJ34" s="87">
        <v>30829</v>
      </c>
      <c r="AK34" s="87">
        <f>AK14+AK24</f>
        <v>36556</v>
      </c>
      <c r="AL34" s="87">
        <v>36893</v>
      </c>
      <c r="AM34" s="87">
        <f>AM14+AM24</f>
        <v>57082</v>
      </c>
    </row>
    <row r="35" spans="1:39" ht="15" customHeight="1" x14ac:dyDescent="0.25">
      <c r="A35" s="125" t="s">
        <v>183</v>
      </c>
      <c r="B35" s="87"/>
      <c r="C35" s="87"/>
      <c r="D35" s="87"/>
      <c r="E35" s="87"/>
      <c r="F35" s="87"/>
      <c r="G35" s="87"/>
      <c r="H35" s="87"/>
      <c r="I35" s="87"/>
      <c r="J35" s="87"/>
      <c r="K35" s="87"/>
      <c r="L35" s="87"/>
      <c r="M35" s="87"/>
      <c r="N35" s="87"/>
      <c r="O35" s="87"/>
      <c r="P35" s="87"/>
      <c r="Q35" s="149"/>
      <c r="R35" s="149"/>
      <c r="S35" s="149"/>
      <c r="T35" s="149"/>
      <c r="U35" s="149"/>
      <c r="V35" s="149"/>
      <c r="W35" s="149"/>
      <c r="X35" s="149"/>
      <c r="Y35" s="149"/>
      <c r="AA35" s="87"/>
      <c r="AB35" s="87"/>
      <c r="AC35" s="87"/>
      <c r="AD35" s="87"/>
      <c r="AE35" s="87"/>
      <c r="AF35" s="87"/>
      <c r="AG35" s="87"/>
      <c r="AH35" s="87"/>
      <c r="AI35" s="87"/>
      <c r="AJ35" s="87"/>
      <c r="AK35" s="87"/>
      <c r="AL35" s="87">
        <v>18463</v>
      </c>
      <c r="AM35" s="87">
        <v>33706</v>
      </c>
    </row>
    <row r="36" spans="1:39" ht="15" hidden="1" customHeight="1" outlineLevel="1" x14ac:dyDescent="0.25">
      <c r="A36" s="27"/>
      <c r="B36" s="88"/>
      <c r="C36" s="88"/>
      <c r="D36" s="88"/>
      <c r="E36" s="88"/>
      <c r="F36" s="88"/>
      <c r="G36" s="88"/>
      <c r="H36" s="88"/>
      <c r="I36" s="88"/>
      <c r="J36" s="88"/>
      <c r="K36" s="88"/>
      <c r="L36" s="88"/>
      <c r="M36" s="88"/>
      <c r="N36" s="88"/>
      <c r="O36" s="88"/>
      <c r="P36" s="88"/>
      <c r="Q36" s="88"/>
      <c r="R36" s="88"/>
      <c r="S36" s="88"/>
      <c r="T36" s="88"/>
      <c r="U36" s="88"/>
      <c r="V36" s="88"/>
      <c r="W36" s="88"/>
      <c r="X36" s="88"/>
      <c r="Y36" s="88"/>
      <c r="AA36" s="88"/>
      <c r="AB36" s="88"/>
      <c r="AC36" s="88"/>
      <c r="AD36" s="88"/>
      <c r="AE36" s="88"/>
      <c r="AF36" s="88"/>
      <c r="AG36" s="88"/>
      <c r="AH36" s="88"/>
      <c r="AI36" s="88"/>
      <c r="AJ36" s="88"/>
      <c r="AK36" s="88"/>
      <c r="AL36" s="88"/>
      <c r="AM36" s="88"/>
    </row>
    <row r="37" spans="1:39" ht="15" hidden="1" customHeight="1" outlineLevel="1" x14ac:dyDescent="0.25">
      <c r="A37" s="26" t="s">
        <v>211</v>
      </c>
      <c r="B37" s="86">
        <f>'Reconciliation Adj EBITDA'!B35</f>
        <v>31806</v>
      </c>
      <c r="C37" s="86">
        <f>'Reconciliation Adj EBITDA'!C35</f>
        <v>23668</v>
      </c>
      <c r="D37" s="86">
        <f>'Reconciliation Adj EBITDA'!D35</f>
        <v>34487</v>
      </c>
      <c r="E37" s="86">
        <f>'Reconciliation Adj EBITDA'!E35</f>
        <v>53477</v>
      </c>
      <c r="F37" s="88"/>
      <c r="G37" s="86">
        <f>'Reconciliation Adj EBITDA'!G35</f>
        <v>48843</v>
      </c>
      <c r="H37" s="86">
        <f>'Reconciliation Adj EBITDA'!H35</f>
        <v>39201</v>
      </c>
      <c r="I37" s="86">
        <f>'Reconciliation Adj EBITDA'!I35</f>
        <v>53532</v>
      </c>
      <c r="J37" s="86">
        <f>'Reconciliation Adj EBITDA'!J35</f>
        <v>82995</v>
      </c>
      <c r="K37" s="86"/>
      <c r="L37" s="86">
        <f>'Reconciliation Adj EBITDA'!L35</f>
        <v>56454</v>
      </c>
      <c r="M37" s="86">
        <f>'Reconciliation Adj EBITDA'!M35</f>
        <v>54086</v>
      </c>
      <c r="N37" s="86">
        <f>'Reconciliation Adj EBITDA'!N35</f>
        <v>79116</v>
      </c>
      <c r="O37" s="86">
        <f>'Reconciliation Adj EBITDA'!O35</f>
        <v>119928</v>
      </c>
      <c r="P37" s="86"/>
      <c r="Q37" s="86">
        <f>'Reconciliation Adj EBITDA'!Q35</f>
        <v>77932</v>
      </c>
      <c r="R37" s="86">
        <f>'Reconciliation Adj EBITDA'!R35</f>
        <v>68774</v>
      </c>
      <c r="S37" s="86">
        <f>'Reconciliation Adj EBITDA'!S35</f>
        <v>69591</v>
      </c>
      <c r="T37" s="86">
        <f>'Reconciliation Adj EBITDA'!T35</f>
        <v>104762</v>
      </c>
      <c r="U37" s="86"/>
      <c r="V37" s="86">
        <f>'Reconciliation Adj EBITDA'!V35</f>
        <v>68855</v>
      </c>
      <c r="W37" s="86">
        <f>'Reconciliation Adj EBITDA'!W35</f>
        <v>56399</v>
      </c>
      <c r="X37" s="86">
        <f>'Reconciliation Adj EBITDA'!X35</f>
        <v>64219</v>
      </c>
      <c r="Y37" s="86">
        <f>'Reconciliation Adj EBITDA'!Y35</f>
        <v>109499</v>
      </c>
      <c r="AA37" s="86">
        <f>'Reconciliation Adj EBITDA'!AA35</f>
        <v>59190</v>
      </c>
      <c r="AB37" s="86">
        <f>'Reconciliation Adj EBITDA'!AB35</f>
        <v>38911</v>
      </c>
      <c r="AC37" s="86">
        <f>'Reconciliation Adj EBITDA'!AC35</f>
        <v>49471</v>
      </c>
      <c r="AD37" s="86">
        <f>'Reconciliation Adj EBITDA'!AD35</f>
        <v>103423</v>
      </c>
      <c r="AE37" s="86"/>
      <c r="AF37" s="86">
        <f>'Reconciliation Adj EBITDA'!AF35</f>
        <v>75929</v>
      </c>
      <c r="AG37" s="86">
        <f>'Reconciliation Adj EBITDA'!AG35</f>
        <v>67269</v>
      </c>
      <c r="AH37" s="86">
        <f>'Reconciliation Adj EBITDA'!AH35</f>
        <v>68430</v>
      </c>
      <c r="AI37" s="86">
        <f>'Reconciliation Adj EBITDA'!AI35</f>
        <v>110867</v>
      </c>
      <c r="AJ37" s="86">
        <f>'Reconciliation Adj EBITDA'!AJ35</f>
        <v>322495</v>
      </c>
      <c r="AK37" s="86">
        <f>'Reconciliation Adj EBITDA'!AK35</f>
        <v>62825</v>
      </c>
      <c r="AL37" s="86">
        <f>'Reconciliation Adj EBITDA'!AL35</f>
        <v>49993</v>
      </c>
      <c r="AM37" s="86">
        <f>'Reconciliation Adj EBITDA'!AM35</f>
        <v>50176</v>
      </c>
    </row>
    <row r="38" spans="1:39" ht="15" customHeight="1" collapsed="1" x14ac:dyDescent="0.25">
      <c r="A38" s="27"/>
      <c r="B38" s="88"/>
      <c r="C38" s="88"/>
      <c r="D38" s="88"/>
      <c r="E38" s="88"/>
      <c r="F38" s="88"/>
      <c r="G38" s="88"/>
      <c r="H38" s="88"/>
      <c r="I38" s="88"/>
      <c r="J38" s="88"/>
      <c r="K38" s="88"/>
      <c r="L38" s="88"/>
      <c r="M38" s="88"/>
      <c r="N38" s="88"/>
      <c r="O38" s="88"/>
      <c r="P38" s="88"/>
      <c r="Q38" s="88"/>
      <c r="R38" s="88"/>
      <c r="S38" s="88"/>
      <c r="T38" s="88"/>
      <c r="U38" s="88"/>
      <c r="V38" s="88"/>
      <c r="W38" s="88"/>
      <c r="X38" s="88"/>
      <c r="Y38" s="88"/>
      <c r="AA38" s="88"/>
      <c r="AB38" s="88"/>
      <c r="AC38" s="88"/>
      <c r="AD38" s="88"/>
      <c r="AE38" s="88"/>
      <c r="AF38" s="88"/>
      <c r="AG38" s="88"/>
      <c r="AH38" s="88"/>
      <c r="AI38" s="88"/>
      <c r="AJ38" s="88"/>
      <c r="AK38" s="88"/>
      <c r="AL38" s="88"/>
      <c r="AM38" s="88"/>
    </row>
    <row r="39" spans="1:39" ht="14.1" customHeight="1" x14ac:dyDescent="0.25">
      <c r="A39" s="29" t="s">
        <v>271</v>
      </c>
      <c r="B39" s="89">
        <f>Cashflows!B24</f>
        <v>41007</v>
      </c>
      <c r="C39" s="89">
        <f>Cashflows!C24</f>
        <v>11938</v>
      </c>
      <c r="D39" s="89">
        <f>Cashflows!D24</f>
        <v>17500</v>
      </c>
      <c r="E39" s="89">
        <f>Cashflows!E24</f>
        <v>66706</v>
      </c>
      <c r="F39" s="89"/>
      <c r="G39" s="89">
        <f>Cashflows!G24</f>
        <v>18907.430706248</v>
      </c>
      <c r="H39" s="89">
        <f>Cashflows!H24</f>
        <v>19274</v>
      </c>
      <c r="I39" s="89">
        <f>Cashflows!I24</f>
        <v>43631</v>
      </c>
      <c r="J39" s="89">
        <f>Cashflows!J24</f>
        <v>71658</v>
      </c>
      <c r="K39" s="89"/>
      <c r="L39" s="89">
        <f>Cashflows!L24</f>
        <v>44238</v>
      </c>
      <c r="M39" s="89">
        <f>Cashflows!M24</f>
        <v>60491</v>
      </c>
      <c r="N39" s="89">
        <f>Cashflows!N24</f>
        <v>61727</v>
      </c>
      <c r="O39" s="89">
        <f>Cashflows!O24</f>
        <v>79002</v>
      </c>
      <c r="P39" s="89"/>
      <c r="Q39" s="89">
        <f>Cashflows!Q24</f>
        <v>84527</v>
      </c>
      <c r="R39" s="89">
        <f>Cashflows!R24</f>
        <v>40341</v>
      </c>
      <c r="S39" s="89">
        <f>Cashflows!S24</f>
        <v>50256</v>
      </c>
      <c r="T39" s="89">
        <f>Cashflows!T24</f>
        <v>85600</v>
      </c>
      <c r="U39" s="89"/>
      <c r="V39" s="89">
        <f>Cashflows!V24</f>
        <v>67220</v>
      </c>
      <c r="W39" s="89">
        <f>Cashflows!W24</f>
        <v>52964</v>
      </c>
      <c r="X39" s="89">
        <f>Cashflows!X24</f>
        <v>43289</v>
      </c>
      <c r="Y39" s="89">
        <f>Cashflows!Y24</f>
        <v>59359</v>
      </c>
      <c r="AA39" s="89">
        <f>Cashflows!AA24</f>
        <v>56743</v>
      </c>
      <c r="AB39" s="89">
        <f>Cashflows!AB24</f>
        <v>33377</v>
      </c>
      <c r="AC39" s="89">
        <f>Cashflows!AC24</f>
        <v>51156</v>
      </c>
      <c r="AD39" s="89">
        <f>Cashflows!AD24</f>
        <v>44080</v>
      </c>
      <c r="AE39" s="89"/>
      <c r="AF39" s="89">
        <f>Cashflows!AF24</f>
        <v>77362</v>
      </c>
      <c r="AG39" s="89">
        <f>Cashflows!AG24</f>
        <v>26360</v>
      </c>
      <c r="AH39" s="89">
        <f>Cashflows!AH24</f>
        <v>51179</v>
      </c>
      <c r="AI39" s="89">
        <f>Cashflows!AI24</f>
        <v>66012</v>
      </c>
      <c r="AJ39" s="89">
        <f>Cashflows!AK24</f>
        <v>74930</v>
      </c>
      <c r="AK39" s="89">
        <f>Cashflows!AL24</f>
        <v>13972</v>
      </c>
      <c r="AL39" s="89">
        <f>Cashflows!AM24</f>
        <v>41628</v>
      </c>
      <c r="AM39" s="89">
        <f>Cashflows!AN24</f>
        <v>125455</v>
      </c>
    </row>
    <row r="40" spans="1:39" ht="20.100000000000001" customHeight="1" x14ac:dyDescent="0.25">
      <c r="A40" s="27"/>
      <c r="B40" s="85"/>
      <c r="C40" s="85"/>
      <c r="D40" s="85"/>
      <c r="E40" s="85"/>
      <c r="F40" s="85"/>
      <c r="G40" s="90"/>
      <c r="H40" s="90"/>
      <c r="I40" s="90"/>
      <c r="J40" s="90"/>
      <c r="K40" s="90"/>
      <c r="L40" s="90"/>
      <c r="M40" s="90"/>
      <c r="N40" s="90"/>
      <c r="O40" s="90"/>
      <c r="P40" s="90"/>
      <c r="Q40" s="90"/>
      <c r="R40" s="90"/>
      <c r="S40" s="90"/>
      <c r="T40" s="90"/>
      <c r="U40" s="90"/>
      <c r="V40" s="90"/>
      <c r="W40" s="90"/>
      <c r="X40" s="90"/>
      <c r="Y40" s="90"/>
      <c r="AA40" s="90"/>
      <c r="AB40" s="90"/>
      <c r="AC40" s="90"/>
      <c r="AD40" s="90"/>
      <c r="AE40" s="90"/>
      <c r="AF40" s="90"/>
      <c r="AG40" s="90"/>
      <c r="AH40" s="90"/>
      <c r="AI40" s="90"/>
      <c r="AJ40" s="90"/>
      <c r="AK40" s="90"/>
      <c r="AL40" s="90"/>
      <c r="AM40" s="90"/>
    </row>
    <row r="41" spans="1:39" ht="15" customHeight="1" x14ac:dyDescent="0.25">
      <c r="A41" s="29" t="s">
        <v>272</v>
      </c>
      <c r="B41" s="89">
        <f>-(Cashflows!B25+Cashflows!B26)</f>
        <v>12862</v>
      </c>
      <c r="C41" s="89">
        <f>-(Cashflows!C25+Cashflows!C26)</f>
        <v>18348</v>
      </c>
      <c r="D41" s="89">
        <f>-(Cashflows!D25+Cashflows!D26)</f>
        <v>24065</v>
      </c>
      <c r="E41" s="89">
        <f>-(Cashflows!E25+Cashflows!E26)</f>
        <v>19205</v>
      </c>
      <c r="F41" s="89"/>
      <c r="G41" s="89">
        <f>-(Cashflows!G25+Cashflows!G26)+1</f>
        <v>12109</v>
      </c>
      <c r="H41" s="89">
        <f>-(Cashflows!H25+Cashflows!H26)</f>
        <v>22386</v>
      </c>
      <c r="I41" s="89">
        <f>-(Cashflows!I25+Cashflows!I26)</f>
        <v>19907</v>
      </c>
      <c r="J41" s="89">
        <f>-(Cashflows!J25+Cashflows!J26)</f>
        <v>22981</v>
      </c>
      <c r="K41" s="89"/>
      <c r="L41" s="89">
        <f>-(Cashflows!L25+Cashflows!L26)</f>
        <v>28206</v>
      </c>
      <c r="M41" s="89">
        <f>-(Cashflows!M25+Cashflows!M26)</f>
        <v>27055</v>
      </c>
      <c r="N41" s="89">
        <f>-(Cashflows!N25+Cashflows!N26)</f>
        <v>27773</v>
      </c>
      <c r="O41" s="89">
        <f>-(Cashflows!O25+Cashflows!O26)</f>
        <v>25476</v>
      </c>
      <c r="P41" s="89"/>
      <c r="Q41" s="89">
        <f>-(Cashflows!Q25+Cashflows!Q26)</f>
        <v>32567</v>
      </c>
      <c r="R41" s="89">
        <f>-(Cashflows!R25+Cashflows!R26)</f>
        <v>17847</v>
      </c>
      <c r="S41" s="89">
        <f>-(Cashflows!S25+Cashflows!S26)</f>
        <v>29656</v>
      </c>
      <c r="T41" s="89">
        <f>-(Cashflows!T25+Cashflows!T26)</f>
        <v>45408</v>
      </c>
      <c r="U41" s="89"/>
      <c r="V41" s="89">
        <f>-(Cashflows!V25+Cashflows!V26)</f>
        <v>23684</v>
      </c>
      <c r="W41" s="89">
        <f>-(Cashflows!W25+Cashflows!W26)</f>
        <v>32792</v>
      </c>
      <c r="X41" s="89">
        <f>-(Cashflows!X25+Cashflows!X26)</f>
        <v>23944</v>
      </c>
      <c r="Y41" s="89">
        <f>-(Cashflows!Y25+Cashflows!Y26)</f>
        <v>17520</v>
      </c>
      <c r="AA41" s="89">
        <f>-(Cashflows!AA25+Cashflows!AA26)</f>
        <v>11737</v>
      </c>
      <c r="AB41" s="89">
        <f>-(Cashflows!AB25+Cashflows!AB26)</f>
        <v>18532</v>
      </c>
      <c r="AC41" s="89">
        <f>-(Cashflows!AC25+Cashflows!AC26)</f>
        <v>12898</v>
      </c>
      <c r="AD41" s="89">
        <f>-(Cashflows!AD25+Cashflows!AD26)</f>
        <v>22302</v>
      </c>
      <c r="AE41" s="89"/>
      <c r="AF41" s="89">
        <f>-(Cashflows!AF25+Cashflows!AF26)</f>
        <v>13780</v>
      </c>
      <c r="AG41" s="89">
        <f>-(Cashflows!AG25+Cashflows!AG26)</f>
        <v>13128</v>
      </c>
      <c r="AH41" s="89">
        <f>-(Cashflows!AH25+Cashflows!AH26)</f>
        <v>15957</v>
      </c>
      <c r="AI41" s="89">
        <f>-(Cashflows!AI25+Cashflows!AI26)</f>
        <v>10145</v>
      </c>
      <c r="AJ41" s="89">
        <f>-(Cashflows!AK25+Cashflows!AK26)</f>
        <v>5564</v>
      </c>
      <c r="AK41" s="89">
        <f>-(Cashflows!AL25+Cashflows!AL26)</f>
        <v>15452</v>
      </c>
      <c r="AL41" s="89">
        <f>-(Cashflows!AM25+Cashflows!AM26)</f>
        <v>20307</v>
      </c>
      <c r="AM41" s="89">
        <f>-(Cashflows!AN25+Cashflows!AN26)</f>
        <v>14522</v>
      </c>
    </row>
    <row r="42" spans="1:39" ht="15" customHeight="1" x14ac:dyDescent="0.25">
      <c r="A42" s="27"/>
      <c r="B42" s="85"/>
      <c r="C42" s="85"/>
      <c r="D42" s="85"/>
      <c r="E42" s="85"/>
      <c r="F42" s="85"/>
      <c r="G42" s="90"/>
      <c r="H42" s="90"/>
      <c r="I42" s="90"/>
      <c r="J42" s="90"/>
      <c r="K42" s="90"/>
      <c r="L42" s="90"/>
      <c r="M42" s="90"/>
      <c r="N42" s="90"/>
      <c r="O42" s="90"/>
      <c r="P42" s="90"/>
      <c r="Q42" s="90"/>
      <c r="R42" s="90"/>
      <c r="S42" s="90"/>
      <c r="T42" s="90"/>
      <c r="U42" s="90"/>
      <c r="V42" s="90"/>
      <c r="W42" s="90"/>
      <c r="X42" s="90"/>
      <c r="Y42" s="90"/>
      <c r="AA42" s="90"/>
      <c r="AB42" s="90"/>
      <c r="AC42" s="90"/>
      <c r="AD42" s="90"/>
      <c r="AE42" s="90"/>
      <c r="AF42" s="90"/>
      <c r="AG42" s="90"/>
      <c r="AH42" s="90"/>
      <c r="AI42" s="90"/>
      <c r="AJ42" s="90"/>
      <c r="AK42" s="90"/>
      <c r="AL42" s="90"/>
      <c r="AM42" s="90"/>
    </row>
    <row r="43" spans="1:39" ht="15" customHeight="1" x14ac:dyDescent="0.25">
      <c r="A43" s="29" t="s">
        <v>273</v>
      </c>
      <c r="B43" s="90">
        <f>B41/B7</f>
        <v>4.3722720041336358E-2</v>
      </c>
      <c r="C43" s="90">
        <f t="shared" ref="C43:E43" si="43">C41/C7</f>
        <v>6.1301811523992167E-2</v>
      </c>
      <c r="D43" s="90">
        <f t="shared" si="43"/>
        <v>7.2338084731599098E-2</v>
      </c>
      <c r="E43" s="90">
        <f t="shared" si="43"/>
        <v>4.8373121621689698E-2</v>
      </c>
      <c r="F43" s="89"/>
      <c r="G43" s="90">
        <f t="shared" ref="G43:Q43" si="44">G41/G7</f>
        <v>3.0177967516753768E-2</v>
      </c>
      <c r="H43" s="90">
        <f t="shared" si="44"/>
        <v>5.4975307035100604E-2</v>
      </c>
      <c r="I43" s="90">
        <f t="shared" si="44"/>
        <v>4.6965203707766821E-2</v>
      </c>
      <c r="J43" s="90">
        <f t="shared" si="44"/>
        <v>4.0543377585674591E-2</v>
      </c>
      <c r="K43" s="90"/>
      <c r="L43" s="90">
        <f t="shared" si="44"/>
        <v>5.4592222843727195E-2</v>
      </c>
      <c r="M43" s="90">
        <f t="shared" si="44"/>
        <v>4.991494810173757E-2</v>
      </c>
      <c r="N43" s="90">
        <f t="shared" si="44"/>
        <v>4.9245265287522627E-2</v>
      </c>
      <c r="O43" s="90">
        <f t="shared" si="44"/>
        <v>3.779648117074734E-2</v>
      </c>
      <c r="P43" s="90"/>
      <c r="Q43" s="90">
        <f t="shared" si="44"/>
        <v>5.7726122191419517E-2</v>
      </c>
      <c r="R43" s="90">
        <f t="shared" ref="R43:S43" si="45">R41/R7</f>
        <v>3.3223191265578898E-2</v>
      </c>
      <c r="S43" s="90">
        <f t="shared" si="45"/>
        <v>5.6074377586888248E-2</v>
      </c>
      <c r="T43" s="90">
        <f t="shared" ref="T43" si="46">T41/T7</f>
        <v>6.7763424942097847E-2</v>
      </c>
      <c r="U43" s="90"/>
      <c r="V43" s="90">
        <f t="shared" ref="V43:Y43" si="47">V41/V7</f>
        <v>4.2435090472888591E-2</v>
      </c>
      <c r="W43" s="90">
        <f t="shared" si="47"/>
        <v>6.2088774526788945E-2</v>
      </c>
      <c r="X43" s="90">
        <f t="shared" si="47"/>
        <v>4.5816542481333933E-2</v>
      </c>
      <c r="Y43" s="90">
        <f t="shared" si="47"/>
        <v>2.684481490561412E-2</v>
      </c>
      <c r="AA43" s="90">
        <f t="shared" ref="AA43:AD43" si="48">AA41/AA7</f>
        <v>2.3316566542703664E-2</v>
      </c>
      <c r="AB43" s="90">
        <f t="shared" si="48"/>
        <v>4.234782251024876E-2</v>
      </c>
      <c r="AC43" s="90">
        <f t="shared" si="48"/>
        <v>2.7422423965387108E-2</v>
      </c>
      <c r="AD43" s="90">
        <f t="shared" si="48"/>
        <v>3.3725400056254365E-2</v>
      </c>
      <c r="AE43" s="90"/>
      <c r="AF43" s="90">
        <f t="shared" ref="AF43:AI43" si="49">AF41/AF7</f>
        <v>2.5467724556763639E-2</v>
      </c>
      <c r="AG43" s="90">
        <f t="shared" si="49"/>
        <v>2.3812330971085285E-2</v>
      </c>
      <c r="AH43" s="90">
        <f t="shared" si="49"/>
        <v>3.137559479334618E-2</v>
      </c>
      <c r="AI43" s="90">
        <f t="shared" si="49"/>
        <v>1.5529637958139627E-2</v>
      </c>
      <c r="AJ43" s="90">
        <f>AJ41/AJ7</f>
        <v>1.0897688256389464E-2</v>
      </c>
      <c r="AK43" s="90">
        <f>AK41/AK7</f>
        <v>3.1210486982164859E-2</v>
      </c>
      <c r="AL43" s="90">
        <f>AL41/AL7</f>
        <v>4.5437560553207391E-2</v>
      </c>
      <c r="AM43" s="90">
        <f>AM41/AM7</f>
        <v>2.5728839084023562E-2</v>
      </c>
    </row>
    <row r="44" spans="1:39" ht="15" customHeight="1" x14ac:dyDescent="0.25">
      <c r="A44" s="30"/>
      <c r="B44" s="89"/>
      <c r="C44" s="89"/>
      <c r="D44" s="89"/>
      <c r="E44" s="89"/>
      <c r="F44" s="89"/>
      <c r="G44" s="89"/>
      <c r="H44" s="89"/>
      <c r="I44" s="89"/>
      <c r="J44" s="89"/>
      <c r="K44" s="89"/>
      <c r="L44" s="89"/>
      <c r="M44" s="89"/>
      <c r="N44" s="89"/>
      <c r="O44" s="89"/>
      <c r="P44" s="89"/>
      <c r="Q44" s="89"/>
      <c r="R44" s="89"/>
      <c r="S44" s="89"/>
      <c r="T44" s="89"/>
      <c r="U44" s="89"/>
      <c r="V44" s="89"/>
      <c r="W44" s="89"/>
      <c r="X44" s="89"/>
      <c r="Y44" s="89"/>
      <c r="AA44" s="89"/>
      <c r="AB44" s="89"/>
      <c r="AC44" s="89"/>
      <c r="AD44" s="89"/>
      <c r="AE44" s="89"/>
      <c r="AF44" s="89"/>
      <c r="AG44" s="89"/>
      <c r="AH44" s="89"/>
      <c r="AI44" s="89"/>
      <c r="AJ44" s="89"/>
      <c r="AK44" s="89"/>
      <c r="AL44" s="89"/>
      <c r="AM44" s="89"/>
    </row>
    <row r="45" spans="1:39" ht="15" customHeight="1" x14ac:dyDescent="0.25">
      <c r="A45" s="29" t="s">
        <v>274</v>
      </c>
      <c r="B45" s="89">
        <f>Cashflows!B41</f>
        <v>316376</v>
      </c>
      <c r="C45" s="89">
        <f>Cashflows!C41</f>
        <v>321109</v>
      </c>
      <c r="D45" s="89">
        <f>Cashflows!D41</f>
        <v>314644</v>
      </c>
      <c r="E45" s="89">
        <f>Cashflows!E41</f>
        <v>353537</v>
      </c>
      <c r="F45" s="89"/>
      <c r="G45" s="89">
        <f>Cashflows!G41</f>
        <v>386110.54063881142</v>
      </c>
      <c r="H45" s="89">
        <f>Cashflows!H41</f>
        <v>377407.54063881142</v>
      </c>
      <c r="I45" s="89">
        <f>Cashflows!I41</f>
        <v>407158.54063881142</v>
      </c>
      <c r="J45" s="89">
        <f>Cashflows!J41</f>
        <v>270317.54063881142</v>
      </c>
      <c r="K45" s="89"/>
      <c r="L45" s="89">
        <f>Cashflows!L41</f>
        <v>303813</v>
      </c>
      <c r="M45" s="89">
        <f>Cashflows!M41</f>
        <v>308185</v>
      </c>
      <c r="N45" s="89">
        <f>Cashflows!N41</f>
        <v>357983</v>
      </c>
      <c r="O45" s="89">
        <f>Cashflows!O41</f>
        <v>414111</v>
      </c>
      <c r="P45" s="89"/>
      <c r="Q45" s="89">
        <f>Cashflows!Q41</f>
        <v>483874</v>
      </c>
      <c r="R45" s="89">
        <f>Cashflows!R41</f>
        <v>480285</v>
      </c>
      <c r="S45" s="89">
        <f>Cashflows!S41</f>
        <v>458690</v>
      </c>
      <c r="T45" s="89">
        <f>Cashflows!T41</f>
        <v>364426</v>
      </c>
      <c r="U45" s="89"/>
      <c r="V45" s="89">
        <f>Cashflows!V41</f>
        <v>395771</v>
      </c>
      <c r="W45" s="89">
        <f>Cashflows!W41</f>
        <v>422053</v>
      </c>
      <c r="X45" s="89">
        <f>Cashflows!X41</f>
        <v>409178</v>
      </c>
      <c r="Y45" s="89">
        <f>Cashflows!Y41</f>
        <v>418763</v>
      </c>
      <c r="AA45" s="89">
        <f>Cashflows!AA41</f>
        <v>436506</v>
      </c>
      <c r="AB45" s="89">
        <f>Cashflows!AB41</f>
        <v>578181</v>
      </c>
      <c r="AC45" s="89">
        <f>Cashflows!AC41</f>
        <v>626744</v>
      </c>
      <c r="AD45" s="89">
        <f>Cashflows!AD41</f>
        <v>488011</v>
      </c>
      <c r="AE45" s="89"/>
      <c r="AF45" s="89">
        <f>Cashflows!AF41</f>
        <v>520060</v>
      </c>
      <c r="AG45" s="89">
        <f>Cashflows!AG41</f>
        <v>489521</v>
      </c>
      <c r="AH45" s="89">
        <f>Cashflows!AH41</f>
        <v>497458</v>
      </c>
      <c r="AI45" s="89">
        <f>Cashflows!AI41</f>
        <v>515527</v>
      </c>
      <c r="AJ45" s="89">
        <f>Cashflows!AK41</f>
        <v>589342</v>
      </c>
      <c r="AK45" s="89">
        <f>Cashflows!AL41</f>
        <v>562546</v>
      </c>
      <c r="AL45" s="89">
        <f>Cashflows!AM41</f>
        <v>407323</v>
      </c>
      <c r="AM45" s="89">
        <f>Cashflows!AN41</f>
        <v>448200</v>
      </c>
    </row>
    <row r="46" spans="1:39" ht="15" customHeight="1" x14ac:dyDescent="0.25">
      <c r="A46" s="27"/>
      <c r="B46" s="85"/>
      <c r="C46" s="85"/>
      <c r="D46" s="85"/>
      <c r="E46" s="85"/>
      <c r="F46" s="85"/>
      <c r="G46" s="90"/>
      <c r="H46" s="90"/>
      <c r="I46" s="90"/>
      <c r="J46" s="90"/>
      <c r="K46" s="90"/>
      <c r="L46" s="90"/>
      <c r="M46" s="90"/>
      <c r="N46" s="90"/>
      <c r="O46" s="90"/>
      <c r="P46" s="90"/>
      <c r="Q46" s="90"/>
      <c r="R46" s="90"/>
      <c r="S46" s="90"/>
      <c r="T46" s="90"/>
      <c r="U46" s="90"/>
      <c r="V46" s="90"/>
      <c r="W46" s="90"/>
      <c r="X46" s="90"/>
      <c r="Y46" s="90"/>
      <c r="AA46" s="90"/>
      <c r="AB46" s="90"/>
      <c r="AC46" s="90"/>
      <c r="AD46" s="90"/>
      <c r="AE46" s="90"/>
      <c r="AF46" s="90"/>
      <c r="AG46" s="90"/>
      <c r="AH46" s="90"/>
      <c r="AI46" s="90"/>
      <c r="AJ46" s="90"/>
      <c r="AK46" s="90"/>
      <c r="AL46" s="90"/>
      <c r="AM46" s="90"/>
    </row>
    <row r="47" spans="1:39" ht="15" customHeight="1" x14ac:dyDescent="0.25">
      <c r="A47" s="29" t="s">
        <v>275</v>
      </c>
      <c r="B47" s="91">
        <v>1517</v>
      </c>
      <c r="C47" s="91">
        <v>1638</v>
      </c>
      <c r="D47" s="91">
        <v>1749</v>
      </c>
      <c r="E47" s="91">
        <v>1841</v>
      </c>
      <c r="F47" s="91"/>
      <c r="G47" s="91">
        <v>1973</v>
      </c>
      <c r="H47" s="91">
        <v>2085</v>
      </c>
      <c r="I47" s="91">
        <v>2212</v>
      </c>
      <c r="J47" s="91">
        <v>2503</v>
      </c>
      <c r="K47" s="91"/>
      <c r="L47" s="91">
        <v>2582</v>
      </c>
      <c r="M47" s="91">
        <v>2690</v>
      </c>
      <c r="N47" s="91">
        <v>2712</v>
      </c>
      <c r="O47" s="91">
        <v>2764</v>
      </c>
      <c r="P47" s="91"/>
      <c r="Q47" s="91">
        <v>2675</v>
      </c>
      <c r="R47" s="91">
        <v>2678</v>
      </c>
      <c r="S47" s="91">
        <v>2737</v>
      </c>
      <c r="T47" s="91">
        <v>2744</v>
      </c>
      <c r="U47" s="91"/>
      <c r="V47" s="91">
        <v>2813</v>
      </c>
      <c r="W47" s="91">
        <v>2873</v>
      </c>
      <c r="X47" s="91">
        <v>2794</v>
      </c>
      <c r="Y47" s="91">
        <v>2755</v>
      </c>
      <c r="AA47" s="91">
        <v>2701</v>
      </c>
      <c r="AB47" s="91">
        <v>2685</v>
      </c>
      <c r="AC47" s="91">
        <v>2636</v>
      </c>
      <c r="AD47" s="91">
        <v>2594</v>
      </c>
      <c r="AE47" s="91"/>
      <c r="AF47" s="91">
        <v>2532</v>
      </c>
      <c r="AG47" s="91">
        <v>2572</v>
      </c>
      <c r="AH47" s="91">
        <v>2658</v>
      </c>
      <c r="AI47" s="91">
        <v>2781</v>
      </c>
      <c r="AJ47" s="91">
        <v>2939</v>
      </c>
      <c r="AK47" s="91">
        <v>3146</v>
      </c>
      <c r="AL47" s="91">
        <v>3537</v>
      </c>
      <c r="AM47" s="91">
        <v>3716</v>
      </c>
    </row>
    <row r="48" spans="1:39" ht="15" customHeight="1" x14ac:dyDescent="0.25">
      <c r="A48" s="27"/>
      <c r="B48" s="85"/>
      <c r="C48" s="85"/>
      <c r="D48" s="85"/>
      <c r="E48" s="85"/>
      <c r="F48" s="85"/>
      <c r="G48" s="90"/>
      <c r="H48" s="90"/>
      <c r="I48" s="90"/>
      <c r="J48" s="90"/>
      <c r="K48" s="90"/>
      <c r="L48" s="90"/>
      <c r="M48" s="90"/>
      <c r="N48" s="90"/>
      <c r="O48" s="90"/>
      <c r="P48" s="90"/>
      <c r="Q48" s="90"/>
      <c r="R48" s="90"/>
      <c r="S48" s="90"/>
      <c r="T48" s="90"/>
      <c r="U48" s="90"/>
      <c r="V48" s="90"/>
      <c r="W48" s="90"/>
      <c r="X48" s="90"/>
      <c r="Y48" s="90"/>
      <c r="AA48" s="90"/>
      <c r="AB48" s="90"/>
      <c r="AC48" s="90"/>
      <c r="AD48" s="90"/>
      <c r="AE48" s="90"/>
      <c r="AF48" s="90"/>
      <c r="AG48" s="90"/>
      <c r="AH48" s="90"/>
      <c r="AI48" s="90"/>
      <c r="AJ48" s="90"/>
      <c r="AK48" s="90"/>
      <c r="AL48" s="90"/>
      <c r="AM48" s="90"/>
    </row>
    <row r="49" spans="1:39" x14ac:dyDescent="0.25">
      <c r="A49" s="286" t="s">
        <v>276</v>
      </c>
      <c r="B49" s="283"/>
      <c r="C49" s="283"/>
      <c r="D49" s="283"/>
      <c r="E49" s="283"/>
      <c r="F49" s="91"/>
      <c r="G49" s="285">
        <v>56</v>
      </c>
      <c r="H49" s="285">
        <v>57</v>
      </c>
      <c r="I49" s="283">
        <v>56</v>
      </c>
      <c r="J49" s="283">
        <v>53</v>
      </c>
      <c r="K49" s="91"/>
      <c r="L49" s="283">
        <v>56</v>
      </c>
      <c r="M49" s="283">
        <v>57</v>
      </c>
      <c r="N49" s="283">
        <v>56</v>
      </c>
      <c r="O49" s="283">
        <v>57</v>
      </c>
      <c r="P49" s="91"/>
      <c r="Q49" s="283">
        <v>60</v>
      </c>
      <c r="R49" s="283">
        <v>61</v>
      </c>
      <c r="S49" s="283">
        <v>60</v>
      </c>
      <c r="T49" s="283">
        <v>58</v>
      </c>
      <c r="U49" s="91"/>
      <c r="V49" s="283">
        <v>59</v>
      </c>
      <c r="W49" s="283">
        <v>58</v>
      </c>
      <c r="X49" s="283">
        <v>57</v>
      </c>
      <c r="Y49" s="283">
        <v>52</v>
      </c>
      <c r="AA49" s="283">
        <v>62</v>
      </c>
      <c r="AB49" s="283">
        <v>61</v>
      </c>
      <c r="AC49" s="283">
        <v>62</v>
      </c>
      <c r="AD49" s="283">
        <v>56</v>
      </c>
      <c r="AE49" s="91"/>
      <c r="AF49" s="283">
        <v>64</v>
      </c>
      <c r="AG49" s="283">
        <v>66</v>
      </c>
      <c r="AH49" s="283">
        <v>70</v>
      </c>
      <c r="AI49" s="283">
        <v>65</v>
      </c>
      <c r="AJ49" s="283">
        <v>74</v>
      </c>
      <c r="AK49" s="283">
        <v>74</v>
      </c>
      <c r="AL49" s="283">
        <v>78</v>
      </c>
      <c r="AM49" s="283">
        <v>71</v>
      </c>
    </row>
    <row r="50" spans="1:39" x14ac:dyDescent="0.25">
      <c r="A50" s="287"/>
      <c r="B50" s="288"/>
      <c r="C50" s="288"/>
      <c r="D50" s="288"/>
      <c r="E50" s="288"/>
      <c r="F50" s="92"/>
      <c r="G50" s="288"/>
      <c r="H50" s="288"/>
      <c r="I50" s="288"/>
      <c r="J50" s="288"/>
      <c r="K50" s="92"/>
      <c r="L50" s="288"/>
      <c r="M50" s="288"/>
      <c r="N50" s="284"/>
      <c r="O50" s="285"/>
      <c r="P50" s="122"/>
      <c r="Q50" s="285"/>
      <c r="R50" s="285"/>
      <c r="S50" s="284"/>
      <c r="T50" s="285"/>
      <c r="U50" s="122"/>
      <c r="V50" s="285"/>
      <c r="W50" s="285"/>
      <c r="X50" s="284"/>
      <c r="Y50" s="285"/>
      <c r="AA50" s="285"/>
      <c r="AB50" s="285"/>
      <c r="AC50" s="284"/>
      <c r="AD50" s="285"/>
      <c r="AE50" s="122"/>
      <c r="AF50" s="285"/>
      <c r="AG50" s="285"/>
      <c r="AH50" s="284"/>
      <c r="AI50" s="285"/>
      <c r="AJ50" s="285"/>
      <c r="AK50" s="285"/>
      <c r="AL50" s="284"/>
      <c r="AM50" s="284"/>
    </row>
    <row r="51" spans="1:39" ht="15" customHeight="1" x14ac:dyDescent="0.25"/>
    <row r="52" spans="1:39" ht="15" hidden="1" customHeight="1" outlineLevel="1" x14ac:dyDescent="0.25">
      <c r="A52" s="5" t="s">
        <v>277</v>
      </c>
      <c r="B52" s="31"/>
      <c r="C52" s="31"/>
      <c r="D52" s="31"/>
      <c r="E52" s="31"/>
      <c r="F52" s="31"/>
      <c r="G52" s="5"/>
      <c r="H52" s="5"/>
      <c r="I52" s="5"/>
      <c r="J52" s="5"/>
      <c r="K52" s="5"/>
      <c r="L52" s="5"/>
      <c r="M52" s="5"/>
      <c r="N52" s="5"/>
      <c r="O52" s="5"/>
      <c r="P52" s="5"/>
      <c r="Q52" s="5"/>
      <c r="R52" s="5"/>
      <c r="S52" s="5"/>
      <c r="T52" s="5"/>
      <c r="U52" s="5"/>
      <c r="V52" s="5"/>
      <c r="W52" s="5"/>
      <c r="X52" s="5"/>
      <c r="Y52" s="5"/>
      <c r="AA52" s="5"/>
      <c r="AB52" s="5"/>
      <c r="AC52" s="5"/>
      <c r="AD52" s="5"/>
      <c r="AE52" s="5"/>
      <c r="AF52" s="5"/>
      <c r="AG52" s="5"/>
      <c r="AH52" s="5"/>
      <c r="AI52" s="5"/>
      <c r="AJ52" s="5"/>
      <c r="AK52" s="5"/>
      <c r="AL52" s="5"/>
      <c r="AM52" s="5"/>
    </row>
    <row r="53" spans="1:39" ht="15" hidden="1" customHeight="1" outlineLevel="1" x14ac:dyDescent="0.25"/>
    <row r="54" spans="1:39" ht="15" customHeight="1" collapsed="1" x14ac:dyDescent="0.25">
      <c r="A54" s="5" t="s">
        <v>278</v>
      </c>
    </row>
    <row r="55" spans="1:39" ht="15" customHeight="1" x14ac:dyDescent="0.25"/>
    <row r="56" spans="1:39" ht="15" customHeight="1" x14ac:dyDescent="0.25"/>
    <row r="57" spans="1:39" ht="15" customHeight="1" x14ac:dyDescent="0.25"/>
    <row r="58" spans="1:39" ht="15" customHeight="1" x14ac:dyDescent="0.25"/>
    <row r="59" spans="1:39" ht="15" customHeight="1" x14ac:dyDescent="0.25"/>
    <row r="60" spans="1:39" ht="15" customHeight="1" x14ac:dyDescent="0.25"/>
    <row r="61" spans="1:39" ht="15" customHeight="1" x14ac:dyDescent="0.25"/>
    <row r="62" spans="1:39" ht="15" customHeight="1" x14ac:dyDescent="0.25"/>
    <row r="63" spans="1:39" ht="15" customHeight="1" x14ac:dyDescent="0.25"/>
    <row r="64" spans="1:3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33">
    <mergeCell ref="AM49:AM50"/>
    <mergeCell ref="AK49:AK50"/>
    <mergeCell ref="AJ49:AJ50"/>
    <mergeCell ref="AI49:AI50"/>
    <mergeCell ref="AH49:AH50"/>
    <mergeCell ref="AL49:AL50"/>
    <mergeCell ref="AD49:AD50"/>
    <mergeCell ref="AC49:AC50"/>
    <mergeCell ref="AG49:AG50"/>
    <mergeCell ref="A49:A50"/>
    <mergeCell ref="E49:E50"/>
    <mergeCell ref="G49:G50"/>
    <mergeCell ref="H49:H50"/>
    <mergeCell ref="I49:I50"/>
    <mergeCell ref="B49:B50"/>
    <mergeCell ref="C49:C50"/>
    <mergeCell ref="D49:D50"/>
    <mergeCell ref="J49:J50"/>
    <mergeCell ref="L49:L50"/>
    <mergeCell ref="M49:M50"/>
    <mergeCell ref="AF49:AF50"/>
    <mergeCell ref="X49:X50"/>
    <mergeCell ref="N49:N50"/>
    <mergeCell ref="AB49:AB50"/>
    <mergeCell ref="T49:T50"/>
    <mergeCell ref="R49:R50"/>
    <mergeCell ref="V49:V50"/>
    <mergeCell ref="O49:O50"/>
    <mergeCell ref="Q49:Q50"/>
    <mergeCell ref="W49:W50"/>
    <mergeCell ref="AA49:AA50"/>
    <mergeCell ref="Y49:Y50"/>
    <mergeCell ref="S49:S50"/>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H16"/>
  <sheetViews>
    <sheetView showGridLines="0" zoomScale="106" zoomScaleNormal="106" workbookViewId="0">
      <pane xSplit="9" topLeftCell="AA1" activePane="topRight" state="frozen"/>
      <selection pane="topRight" activeCell="AG14" sqref="AG14"/>
    </sheetView>
  </sheetViews>
  <sheetFormatPr defaultColWidth="12.6640625" defaultRowHeight="13.2" outlineLevelCol="1" x14ac:dyDescent="0.25"/>
  <cols>
    <col min="1" max="1" width="71" style="151" bestFit="1" customWidth="1"/>
    <col min="2" max="9" width="15.6640625" style="151" hidden="1" customWidth="1" outlineLevel="1"/>
    <col min="10" max="11" width="15.6640625" style="151" hidden="1" customWidth="1" outlineLevel="1" collapsed="1"/>
    <col min="12" max="13" width="15.6640625" style="151" hidden="1" customWidth="1" outlineLevel="1"/>
    <col min="14" max="14" width="15.6640625" style="151" hidden="1" customWidth="1" outlineLevel="1" collapsed="1"/>
    <col min="15" max="21" width="15.6640625" style="151" hidden="1" customWidth="1" outlineLevel="1"/>
    <col min="22" max="22" width="15.6640625" style="151" hidden="1" customWidth="1" collapsed="1"/>
    <col min="23" max="23" width="15.6640625" style="151" hidden="1" customWidth="1"/>
    <col min="24" max="33" width="15.6640625" style="151" customWidth="1"/>
    <col min="34" max="34" width="3.6640625" style="157" customWidth="1"/>
    <col min="35" max="16384" width="12.6640625" style="151"/>
  </cols>
  <sheetData>
    <row r="1" spans="1:33" x14ac:dyDescent="0.25">
      <c r="A1" s="154" t="s">
        <v>279</v>
      </c>
    </row>
    <row r="2" spans="1:33" ht="26.4" x14ac:dyDescent="0.25">
      <c r="A2" s="151" t="s">
        <v>280</v>
      </c>
      <c r="B2" s="261" t="s">
        <v>281</v>
      </c>
      <c r="C2" s="261" t="s">
        <v>282</v>
      </c>
      <c r="D2" s="261" t="s">
        <v>283</v>
      </c>
      <c r="E2" s="261" t="s">
        <v>284</v>
      </c>
      <c r="F2" s="261" t="s">
        <v>281</v>
      </c>
      <c r="G2" s="261" t="s">
        <v>282</v>
      </c>
      <c r="H2" s="261" t="s">
        <v>283</v>
      </c>
      <c r="I2" s="261" t="s">
        <v>284</v>
      </c>
      <c r="J2" s="261" t="s">
        <v>281</v>
      </c>
      <c r="K2" s="261" t="s">
        <v>282</v>
      </c>
      <c r="L2" s="261" t="s">
        <v>283</v>
      </c>
      <c r="M2" s="261" t="s">
        <v>284</v>
      </c>
      <c r="N2" s="261" t="s">
        <v>281</v>
      </c>
      <c r="O2" s="261" t="s">
        <v>282</v>
      </c>
      <c r="P2" s="261" t="s">
        <v>283</v>
      </c>
      <c r="Q2" s="261" t="s">
        <v>284</v>
      </c>
      <c r="R2" s="261" t="s">
        <v>281</v>
      </c>
      <c r="S2" s="261" t="s">
        <v>282</v>
      </c>
      <c r="T2" s="261" t="s">
        <v>283</v>
      </c>
      <c r="U2" s="261" t="s">
        <v>284</v>
      </c>
      <c r="V2" s="261" t="s">
        <v>281</v>
      </c>
      <c r="W2" s="261" t="s">
        <v>282</v>
      </c>
      <c r="X2" s="261" t="s">
        <v>283</v>
      </c>
      <c r="Y2" s="261" t="s">
        <v>284</v>
      </c>
      <c r="Z2" s="261" t="s">
        <v>281</v>
      </c>
      <c r="AA2" s="261" t="s">
        <v>282</v>
      </c>
      <c r="AB2" s="261" t="s">
        <v>283</v>
      </c>
      <c r="AC2" s="261" t="s">
        <v>284</v>
      </c>
      <c r="AD2" s="261" t="s">
        <v>281</v>
      </c>
      <c r="AE2" s="261" t="s">
        <v>282</v>
      </c>
      <c r="AF2" s="261" t="s">
        <v>283</v>
      </c>
      <c r="AG2" s="261" t="s">
        <v>284</v>
      </c>
    </row>
    <row r="3" spans="1:33" ht="15" customHeight="1" x14ac:dyDescent="0.25">
      <c r="B3" s="262">
        <v>42094</v>
      </c>
      <c r="C3" s="263">
        <v>42185</v>
      </c>
      <c r="D3" s="263">
        <v>42277</v>
      </c>
      <c r="E3" s="263">
        <v>42369</v>
      </c>
      <c r="F3" s="262">
        <v>42460</v>
      </c>
      <c r="G3" s="263">
        <v>42551</v>
      </c>
      <c r="H3" s="263">
        <v>42643</v>
      </c>
      <c r="I3" s="263">
        <v>42735</v>
      </c>
      <c r="J3" s="262">
        <v>42825</v>
      </c>
      <c r="K3" s="263">
        <v>42916</v>
      </c>
      <c r="L3" s="263">
        <v>43008</v>
      </c>
      <c r="M3" s="263">
        <v>43100</v>
      </c>
      <c r="N3" s="262">
        <v>43190</v>
      </c>
      <c r="O3" s="263">
        <v>43281</v>
      </c>
      <c r="P3" s="263" t="s">
        <v>285</v>
      </c>
      <c r="Q3" s="263">
        <v>43465</v>
      </c>
      <c r="R3" s="262">
        <v>43555</v>
      </c>
      <c r="S3" s="262">
        <v>43646</v>
      </c>
      <c r="T3" s="263">
        <v>43738</v>
      </c>
      <c r="U3" s="263">
        <v>43830</v>
      </c>
      <c r="V3" s="262">
        <v>43921</v>
      </c>
      <c r="W3" s="262">
        <v>44012</v>
      </c>
      <c r="X3" s="263">
        <v>44104</v>
      </c>
      <c r="Y3" s="263">
        <v>44196</v>
      </c>
      <c r="Z3" s="262">
        <v>44286</v>
      </c>
      <c r="AA3" s="262">
        <v>44377</v>
      </c>
      <c r="AB3" s="263">
        <v>44469</v>
      </c>
      <c r="AC3" s="263">
        <v>44561</v>
      </c>
      <c r="AD3" s="262">
        <v>44651</v>
      </c>
      <c r="AE3" s="262">
        <v>44742</v>
      </c>
      <c r="AF3" s="263">
        <v>44834</v>
      </c>
      <c r="AG3" s="263">
        <v>44926</v>
      </c>
    </row>
    <row r="4" spans="1:33" x14ac:dyDescent="0.25">
      <c r="A4" s="151" t="s">
        <v>286</v>
      </c>
      <c r="B4" s="234">
        <v>60902695</v>
      </c>
      <c r="C4" s="264">
        <f>B4</f>
        <v>60902695</v>
      </c>
      <c r="D4" s="264">
        <f>B4</f>
        <v>60902695</v>
      </c>
      <c r="E4" s="264">
        <f>B4</f>
        <v>60902695</v>
      </c>
      <c r="F4" s="264">
        <f>E12</f>
        <v>62470881</v>
      </c>
      <c r="G4" s="264">
        <f>F4</f>
        <v>62470881</v>
      </c>
      <c r="H4" s="264">
        <f>F4</f>
        <v>62470881</v>
      </c>
      <c r="I4" s="264">
        <f>F4</f>
        <v>62470881</v>
      </c>
      <c r="J4" s="264">
        <f>I12</f>
        <v>63978204</v>
      </c>
      <c r="K4" s="264">
        <f>J4</f>
        <v>63978204</v>
      </c>
      <c r="L4" s="264">
        <f>J4</f>
        <v>63978204</v>
      </c>
      <c r="M4" s="264">
        <f>J4</f>
        <v>63978204</v>
      </c>
      <c r="N4" s="264">
        <f>M12</f>
        <v>66085097</v>
      </c>
      <c r="O4" s="264">
        <f>N4</f>
        <v>66085097</v>
      </c>
      <c r="P4" s="264">
        <f>O4</f>
        <v>66085097</v>
      </c>
      <c r="Q4" s="264">
        <f>P4</f>
        <v>66085097</v>
      </c>
      <c r="R4" s="264">
        <f>Q12</f>
        <v>64249084</v>
      </c>
      <c r="S4" s="264">
        <f>R4</f>
        <v>64249084</v>
      </c>
      <c r="T4" s="264">
        <f>S4</f>
        <v>64249084</v>
      </c>
      <c r="U4" s="264">
        <f>T4</f>
        <v>64249084</v>
      </c>
      <c r="V4" s="264">
        <f>U12</f>
        <v>62293508</v>
      </c>
      <c r="W4" s="264">
        <f>V4</f>
        <v>62293508</v>
      </c>
      <c r="X4" s="264">
        <f>W4</f>
        <v>62293508</v>
      </c>
      <c r="Y4" s="264">
        <f>X4</f>
        <v>62293508</v>
      </c>
      <c r="Z4" s="264">
        <f>Y12</f>
        <v>60639570</v>
      </c>
      <c r="AA4" s="264">
        <f>Z4</f>
        <v>60639570</v>
      </c>
      <c r="AB4" s="264">
        <f>AA4</f>
        <v>60639570</v>
      </c>
      <c r="AC4" s="264">
        <f>AB4</f>
        <v>60639570</v>
      </c>
      <c r="AD4" s="264">
        <f>AC12</f>
        <v>60675474</v>
      </c>
      <c r="AE4" s="264">
        <f>AD4</f>
        <v>60675474</v>
      </c>
      <c r="AF4" s="264">
        <f>AE4</f>
        <v>60675474</v>
      </c>
      <c r="AG4" s="265">
        <f>AF4</f>
        <v>60675474</v>
      </c>
    </row>
    <row r="5" spans="1:33" ht="15" customHeight="1" x14ac:dyDescent="0.25">
      <c r="A5" s="151" t="s">
        <v>287</v>
      </c>
      <c r="B5" s="197">
        <v>271473</v>
      </c>
      <c r="C5" s="197">
        <v>545983</v>
      </c>
      <c r="D5" s="197">
        <v>759613</v>
      </c>
      <c r="E5" s="197">
        <v>932804</v>
      </c>
      <c r="F5" s="197">
        <v>139132</v>
      </c>
      <c r="G5" s="197">
        <v>457340</v>
      </c>
      <c r="H5" s="197">
        <v>693041</v>
      </c>
      <c r="I5" s="197">
        <v>866911</v>
      </c>
      <c r="J5" s="197">
        <v>210990</v>
      </c>
      <c r="K5" s="197">
        <v>633033</v>
      </c>
      <c r="L5" s="197">
        <v>903547</v>
      </c>
      <c r="M5" s="197">
        <v>1164832</v>
      </c>
      <c r="N5" s="197">
        <v>75278</v>
      </c>
      <c r="O5" s="197">
        <v>169379</v>
      </c>
      <c r="P5" s="197">
        <v>446274</v>
      </c>
      <c r="Q5" s="197">
        <v>371793</v>
      </c>
      <c r="R5" s="197">
        <v>87693</v>
      </c>
      <c r="S5" s="197">
        <v>210783</v>
      </c>
      <c r="T5" s="197">
        <v>351785</v>
      </c>
      <c r="U5" s="197">
        <v>56881</v>
      </c>
      <c r="V5" s="197">
        <v>-602507</v>
      </c>
      <c r="W5" s="197">
        <v>-739633</v>
      </c>
      <c r="X5" s="197">
        <v>-1234163</v>
      </c>
      <c r="Y5" s="197">
        <v>-1417028</v>
      </c>
      <c r="Z5" s="197">
        <v>102104</v>
      </c>
      <c r="AA5" s="197">
        <v>63210</v>
      </c>
      <c r="AB5" s="197">
        <v>120043</v>
      </c>
      <c r="AC5" s="197">
        <v>77876</v>
      </c>
      <c r="AD5" s="197">
        <v>62825</v>
      </c>
      <c r="AE5" s="197">
        <v>-187045</v>
      </c>
      <c r="AF5" s="197">
        <v>-243877</v>
      </c>
      <c r="AG5" s="230">
        <v>-670767.480769224</v>
      </c>
    </row>
    <row r="6" spans="1:33" ht="32.25" customHeight="1" x14ac:dyDescent="0.25">
      <c r="A6" s="266" t="s">
        <v>288</v>
      </c>
      <c r="B6" s="267">
        <f t="shared" ref="B6:E6" si="0">SUM(B4:B5)</f>
        <v>61174168</v>
      </c>
      <c r="C6" s="267">
        <f t="shared" si="0"/>
        <v>61448678</v>
      </c>
      <c r="D6" s="267">
        <f t="shared" si="0"/>
        <v>61662308</v>
      </c>
      <c r="E6" s="267">
        <f t="shared" si="0"/>
        <v>61835499</v>
      </c>
      <c r="F6" s="267">
        <f t="shared" ref="F6:U6" si="1">SUM(F4:F5)</f>
        <v>62610013</v>
      </c>
      <c r="G6" s="267">
        <f t="shared" si="1"/>
        <v>62928221</v>
      </c>
      <c r="H6" s="267">
        <f t="shared" si="1"/>
        <v>63163922</v>
      </c>
      <c r="I6" s="267">
        <f t="shared" si="1"/>
        <v>63337792</v>
      </c>
      <c r="J6" s="267">
        <f t="shared" si="1"/>
        <v>64189194</v>
      </c>
      <c r="K6" s="267">
        <f t="shared" si="1"/>
        <v>64611237</v>
      </c>
      <c r="L6" s="267">
        <f t="shared" si="1"/>
        <v>64881751</v>
      </c>
      <c r="M6" s="267">
        <f t="shared" si="1"/>
        <v>65143036</v>
      </c>
      <c r="N6" s="267">
        <f t="shared" si="1"/>
        <v>66160375</v>
      </c>
      <c r="O6" s="267">
        <f t="shared" si="1"/>
        <v>66254476</v>
      </c>
      <c r="P6" s="267">
        <f t="shared" si="1"/>
        <v>66531371</v>
      </c>
      <c r="Q6" s="267">
        <f t="shared" si="1"/>
        <v>66456890</v>
      </c>
      <c r="R6" s="267">
        <f t="shared" si="1"/>
        <v>64336777</v>
      </c>
      <c r="S6" s="267">
        <f t="shared" si="1"/>
        <v>64459867</v>
      </c>
      <c r="T6" s="267">
        <f t="shared" si="1"/>
        <v>64600869</v>
      </c>
      <c r="U6" s="267">
        <f t="shared" si="1"/>
        <v>64305965</v>
      </c>
      <c r="V6" s="267">
        <f t="shared" ref="V6:Y6" si="2">SUM(V4:V5)</f>
        <v>61691001</v>
      </c>
      <c r="W6" s="267">
        <f t="shared" si="2"/>
        <v>61553875</v>
      </c>
      <c r="X6" s="267">
        <f t="shared" si="2"/>
        <v>61059345</v>
      </c>
      <c r="Y6" s="267">
        <f t="shared" si="2"/>
        <v>60876480</v>
      </c>
      <c r="Z6" s="267">
        <f t="shared" ref="Z6:AC6" si="3">SUM(Z4:Z5)</f>
        <v>60741674</v>
      </c>
      <c r="AA6" s="267">
        <f t="shared" si="3"/>
        <v>60702780</v>
      </c>
      <c r="AB6" s="267">
        <f t="shared" si="3"/>
        <v>60759613</v>
      </c>
      <c r="AC6" s="267">
        <f t="shared" si="3"/>
        <v>60717446</v>
      </c>
      <c r="AD6" s="267">
        <f t="shared" ref="AD6:AE6" si="4">SUM(AD4:AD5)</f>
        <v>60738299</v>
      </c>
      <c r="AE6" s="267">
        <f t="shared" si="4"/>
        <v>60488429</v>
      </c>
      <c r="AF6" s="267">
        <f>SUM(AF4:AF5)</f>
        <v>60431597</v>
      </c>
      <c r="AG6" s="268">
        <f>SUM(AG4:AG5)</f>
        <v>60004706.519230776</v>
      </c>
    </row>
    <row r="7" spans="1:33" ht="32.25" customHeight="1" x14ac:dyDescent="0.25">
      <c r="A7" s="151" t="s">
        <v>289</v>
      </c>
      <c r="B7" s="197">
        <v>3567774</v>
      </c>
      <c r="C7" s="197">
        <v>3564009</v>
      </c>
      <c r="D7" s="197">
        <v>3433382</v>
      </c>
      <c r="E7" s="197">
        <v>3260987</v>
      </c>
      <c r="F7" s="197">
        <v>2231121</v>
      </c>
      <c r="G7" s="197">
        <v>2304717</v>
      </c>
      <c r="H7" s="197">
        <v>2265835</v>
      </c>
      <c r="I7" s="197">
        <v>2295678</v>
      </c>
      <c r="J7" s="197">
        <v>3093818</v>
      </c>
      <c r="K7" s="197">
        <v>3098552</v>
      </c>
      <c r="L7" s="197">
        <v>2995040</v>
      </c>
      <c r="M7" s="197">
        <v>2708935</v>
      </c>
      <c r="N7" s="197">
        <v>1309363</v>
      </c>
      <c r="O7" s="197">
        <v>1225037</v>
      </c>
      <c r="P7" s="197">
        <v>1333431</v>
      </c>
      <c r="Q7" s="197">
        <v>1206014</v>
      </c>
      <c r="R7" s="197">
        <v>1704519</v>
      </c>
      <c r="S7" s="197">
        <v>1373775</v>
      </c>
      <c r="T7" s="197">
        <v>1315350</v>
      </c>
      <c r="U7" s="197">
        <v>1292623</v>
      </c>
      <c r="V7" s="197">
        <v>434581</v>
      </c>
      <c r="W7" s="197">
        <v>404624</v>
      </c>
      <c r="X7" s="197">
        <v>585482</v>
      </c>
      <c r="Y7" s="197">
        <v>942113</v>
      </c>
      <c r="Z7" s="197">
        <v>3335736</v>
      </c>
      <c r="AA7" s="197">
        <v>3668823</v>
      </c>
      <c r="AB7" s="197">
        <v>3553913</v>
      </c>
      <c r="AC7" s="197">
        <v>3514191</v>
      </c>
      <c r="AD7" s="197">
        <v>2875251</v>
      </c>
      <c r="AE7" s="197">
        <v>2469289</v>
      </c>
      <c r="AF7" s="197">
        <v>2618758</v>
      </c>
      <c r="AG7" s="230">
        <v>2755490.7998717302</v>
      </c>
    </row>
    <row r="8" spans="1:33" ht="15" customHeight="1" x14ac:dyDescent="0.25">
      <c r="A8" s="266" t="s">
        <v>290</v>
      </c>
      <c r="B8" s="267">
        <f t="shared" ref="B8:E8" si="5">SUM(B6:B7)</f>
        <v>64741942</v>
      </c>
      <c r="C8" s="267">
        <f t="shared" si="5"/>
        <v>65012687</v>
      </c>
      <c r="D8" s="267">
        <f t="shared" si="5"/>
        <v>65095690</v>
      </c>
      <c r="E8" s="267">
        <f t="shared" si="5"/>
        <v>65096486</v>
      </c>
      <c r="F8" s="267">
        <f t="shared" ref="F8:U8" si="6">SUM(F6:F7)</f>
        <v>64841134</v>
      </c>
      <c r="G8" s="267">
        <f t="shared" si="6"/>
        <v>65232938</v>
      </c>
      <c r="H8" s="267">
        <f t="shared" si="6"/>
        <v>65429757</v>
      </c>
      <c r="I8" s="267">
        <f t="shared" si="6"/>
        <v>65633470</v>
      </c>
      <c r="J8" s="267">
        <f t="shared" si="6"/>
        <v>67283012</v>
      </c>
      <c r="K8" s="267">
        <f t="shared" si="6"/>
        <v>67709789</v>
      </c>
      <c r="L8" s="267">
        <f t="shared" si="6"/>
        <v>67876791</v>
      </c>
      <c r="M8" s="267">
        <f t="shared" si="6"/>
        <v>67851971</v>
      </c>
      <c r="N8" s="267">
        <f t="shared" si="6"/>
        <v>67469738</v>
      </c>
      <c r="O8" s="267">
        <f t="shared" si="6"/>
        <v>67479513</v>
      </c>
      <c r="P8" s="267">
        <f t="shared" si="6"/>
        <v>67864802</v>
      </c>
      <c r="Q8" s="267">
        <f t="shared" si="6"/>
        <v>67662904</v>
      </c>
      <c r="R8" s="267">
        <f t="shared" si="6"/>
        <v>66041296</v>
      </c>
      <c r="S8" s="267">
        <f t="shared" si="6"/>
        <v>65833642</v>
      </c>
      <c r="T8" s="267">
        <f t="shared" si="6"/>
        <v>65916219</v>
      </c>
      <c r="U8" s="267">
        <f t="shared" si="6"/>
        <v>65598588</v>
      </c>
      <c r="V8" s="267">
        <f t="shared" ref="V8:Y8" si="7">SUM(V6:V7)</f>
        <v>62125582</v>
      </c>
      <c r="W8" s="267">
        <f t="shared" si="7"/>
        <v>61958499</v>
      </c>
      <c r="X8" s="267">
        <f t="shared" si="7"/>
        <v>61644827</v>
      </c>
      <c r="Y8" s="267">
        <f t="shared" si="7"/>
        <v>61818593</v>
      </c>
      <c r="Z8" s="267">
        <f t="shared" ref="Z8:AC8" si="8">SUM(Z6:Z7)</f>
        <v>64077410</v>
      </c>
      <c r="AA8" s="267">
        <f t="shared" si="8"/>
        <v>64371603</v>
      </c>
      <c r="AB8" s="267">
        <f t="shared" si="8"/>
        <v>64313526</v>
      </c>
      <c r="AC8" s="267">
        <f t="shared" si="8"/>
        <v>64231637</v>
      </c>
      <c r="AD8" s="267">
        <f t="shared" ref="AD8:AE8" si="9">SUM(AD6:AD7)</f>
        <v>63613550</v>
      </c>
      <c r="AE8" s="267">
        <f t="shared" si="9"/>
        <v>62957718</v>
      </c>
      <c r="AF8" s="267">
        <f>SUM(AF6:AF7)</f>
        <v>63050355</v>
      </c>
      <c r="AG8" s="268">
        <f>SUM(AG6:AG7)</f>
        <v>62760197.319102503</v>
      </c>
    </row>
    <row r="9" spans="1:33" ht="15" customHeight="1" x14ac:dyDescent="0.25">
      <c r="AG9" s="157"/>
    </row>
    <row r="10" spans="1:33" ht="15" customHeight="1" x14ac:dyDescent="0.25">
      <c r="A10" s="266" t="s">
        <v>291</v>
      </c>
      <c r="B10" s="269">
        <v>61517945</v>
      </c>
      <c r="C10" s="269">
        <v>61913692</v>
      </c>
      <c r="D10" s="269">
        <v>62249428</v>
      </c>
      <c r="E10" s="269">
        <v>62470881</v>
      </c>
      <c r="F10" s="269">
        <v>62896180</v>
      </c>
      <c r="G10" s="269">
        <v>63562863</v>
      </c>
      <c r="H10" s="269">
        <v>63760491</v>
      </c>
      <c r="I10" s="269">
        <v>63978204</v>
      </c>
      <c r="J10" s="269">
        <v>64665637</v>
      </c>
      <c r="K10" s="269">
        <v>65291977</v>
      </c>
      <c r="L10" s="269">
        <v>65551174</v>
      </c>
      <c r="M10" s="269">
        <v>66085097</v>
      </c>
      <c r="N10" s="269">
        <v>66248351</v>
      </c>
      <c r="O10" s="269">
        <v>66861045</v>
      </c>
      <c r="P10" s="269">
        <v>67231036</v>
      </c>
      <c r="Q10" s="269">
        <v>67708203</v>
      </c>
      <c r="R10" s="269">
        <v>66142511</v>
      </c>
      <c r="S10" s="269">
        <v>66161523</v>
      </c>
      <c r="T10" s="269">
        <v>66173983</v>
      </c>
      <c r="U10" s="269">
        <v>66197181</v>
      </c>
      <c r="V10" s="269">
        <v>66202881</v>
      </c>
      <c r="W10" s="269">
        <v>66204881</v>
      </c>
      <c r="X10" s="269">
        <v>66083172</v>
      </c>
      <c r="Y10" s="269">
        <v>66272106</v>
      </c>
      <c r="Z10" s="269">
        <v>66391906</v>
      </c>
      <c r="AA10" s="269">
        <v>66697360</v>
      </c>
      <c r="AB10" s="269">
        <v>66315019</v>
      </c>
      <c r="AC10" s="269">
        <v>65883347</v>
      </c>
      <c r="AD10" s="269">
        <v>65905394</v>
      </c>
      <c r="AE10" s="269">
        <v>65794032</v>
      </c>
      <c r="AF10" s="269">
        <v>64985388</v>
      </c>
      <c r="AG10" s="270">
        <v>63248728</v>
      </c>
    </row>
    <row r="11" spans="1:33" ht="15" customHeight="1" x14ac:dyDescent="0.25">
      <c r="A11" s="151" t="s">
        <v>292</v>
      </c>
      <c r="B11" s="271">
        <v>0</v>
      </c>
      <c r="C11" s="271">
        <v>0</v>
      </c>
      <c r="D11" s="271">
        <v>0</v>
      </c>
      <c r="E11" s="271">
        <v>0</v>
      </c>
      <c r="F11" s="271">
        <v>0</v>
      </c>
      <c r="G11" s="271">
        <v>0</v>
      </c>
      <c r="H11" s="271">
        <v>0</v>
      </c>
      <c r="I11" s="271">
        <v>0</v>
      </c>
      <c r="J11" s="271">
        <v>0</v>
      </c>
      <c r="K11" s="271">
        <v>0</v>
      </c>
      <c r="L11" s="271">
        <v>0</v>
      </c>
      <c r="M11" s="271">
        <v>0</v>
      </c>
      <c r="N11" s="271">
        <v>0</v>
      </c>
      <c r="O11" s="271">
        <v>0</v>
      </c>
      <c r="P11" s="271">
        <v>0</v>
      </c>
      <c r="Q11" s="271">
        <v>-3459119</v>
      </c>
      <c r="R11" s="271">
        <v>-1672404</v>
      </c>
      <c r="S11" s="271">
        <v>-1118969</v>
      </c>
      <c r="T11" s="271">
        <v>-1807251</v>
      </c>
      <c r="U11" s="271">
        <v>-3903673</v>
      </c>
      <c r="V11" s="271">
        <v>-4533650</v>
      </c>
      <c r="W11" s="271">
        <v>-5589408</v>
      </c>
      <c r="X11" s="271">
        <v>-5989258</v>
      </c>
      <c r="Y11" s="271">
        <v>-5632536</v>
      </c>
      <c r="Z11" s="271">
        <v>-5597601</v>
      </c>
      <c r="AA11" s="271">
        <v>-6080008</v>
      </c>
      <c r="AB11" s="271">
        <v>-5544527</v>
      </c>
      <c r="AC11" s="271">
        <v>-5207873</v>
      </c>
      <c r="AD11" s="271">
        <v>-5327644</v>
      </c>
      <c r="AE11" s="271">
        <v>-5265393</v>
      </c>
      <c r="AF11" s="271">
        <v>-5049409</v>
      </c>
      <c r="AG11" s="272">
        <v>-5985104</v>
      </c>
    </row>
    <row r="12" spans="1:33" ht="15" customHeight="1" x14ac:dyDescent="0.25">
      <c r="A12" s="266" t="s">
        <v>293</v>
      </c>
      <c r="B12" s="273">
        <f>B10+B11</f>
        <v>61517945</v>
      </c>
      <c r="C12" s="273">
        <f t="shared" ref="C12:U12" si="10">C10+C11</f>
        <v>61913692</v>
      </c>
      <c r="D12" s="273">
        <f t="shared" si="10"/>
        <v>62249428</v>
      </c>
      <c r="E12" s="273">
        <f t="shared" si="10"/>
        <v>62470881</v>
      </c>
      <c r="F12" s="273">
        <f t="shared" si="10"/>
        <v>62896180</v>
      </c>
      <c r="G12" s="273">
        <f t="shared" si="10"/>
        <v>63562863</v>
      </c>
      <c r="H12" s="273">
        <f t="shared" si="10"/>
        <v>63760491</v>
      </c>
      <c r="I12" s="273">
        <f t="shared" si="10"/>
        <v>63978204</v>
      </c>
      <c r="J12" s="273">
        <f t="shared" si="10"/>
        <v>64665637</v>
      </c>
      <c r="K12" s="273">
        <f t="shared" si="10"/>
        <v>65291977</v>
      </c>
      <c r="L12" s="273">
        <f t="shared" si="10"/>
        <v>65551174</v>
      </c>
      <c r="M12" s="273">
        <f t="shared" si="10"/>
        <v>66085097</v>
      </c>
      <c r="N12" s="273">
        <f t="shared" si="10"/>
        <v>66248351</v>
      </c>
      <c r="O12" s="273">
        <f t="shared" si="10"/>
        <v>66861045</v>
      </c>
      <c r="P12" s="273">
        <f t="shared" si="10"/>
        <v>67231036</v>
      </c>
      <c r="Q12" s="273">
        <f t="shared" si="10"/>
        <v>64249084</v>
      </c>
      <c r="R12" s="273">
        <f t="shared" si="10"/>
        <v>64470107</v>
      </c>
      <c r="S12" s="273">
        <f t="shared" si="10"/>
        <v>65042554</v>
      </c>
      <c r="T12" s="273">
        <f t="shared" si="10"/>
        <v>64366732</v>
      </c>
      <c r="U12" s="273">
        <f t="shared" si="10"/>
        <v>62293508</v>
      </c>
      <c r="V12" s="273">
        <f t="shared" ref="V12:Y12" si="11">V10+V11</f>
        <v>61669231</v>
      </c>
      <c r="W12" s="273">
        <f t="shared" si="11"/>
        <v>60615473</v>
      </c>
      <c r="X12" s="273">
        <f t="shared" si="11"/>
        <v>60093914</v>
      </c>
      <c r="Y12" s="273">
        <f t="shared" si="11"/>
        <v>60639570</v>
      </c>
      <c r="Z12" s="273">
        <f t="shared" ref="Z12:AC12" si="12">Z10+Z11</f>
        <v>60794305</v>
      </c>
      <c r="AA12" s="273">
        <f t="shared" si="12"/>
        <v>60617352</v>
      </c>
      <c r="AB12" s="273">
        <f t="shared" si="12"/>
        <v>60770492</v>
      </c>
      <c r="AC12" s="273">
        <f t="shared" si="12"/>
        <v>60675474</v>
      </c>
      <c r="AD12" s="273">
        <v>60577750</v>
      </c>
      <c r="AE12" s="273">
        <f>AE10+AE11</f>
        <v>60528639</v>
      </c>
      <c r="AF12" s="273">
        <f>SUM(AF11,AF10)</f>
        <v>59935979</v>
      </c>
      <c r="AG12" s="274">
        <f t="shared" ref="AG12" si="13">AG10+AG11</f>
        <v>57263624</v>
      </c>
    </row>
    <row r="13" spans="1:33" ht="15" customHeight="1" x14ac:dyDescent="0.25">
      <c r="A13" s="151" t="s">
        <v>294</v>
      </c>
      <c r="B13" s="271">
        <v>7769195</v>
      </c>
      <c r="C13" s="271">
        <v>7119504</v>
      </c>
      <c r="D13" s="271">
        <v>6582870</v>
      </c>
      <c r="E13" s="271">
        <v>7798348</v>
      </c>
      <c r="F13" s="271">
        <v>7469069</v>
      </c>
      <c r="G13" s="271">
        <v>8198113</v>
      </c>
      <c r="H13" s="271">
        <v>8165801</v>
      </c>
      <c r="I13" s="271">
        <v>8391496</v>
      </c>
      <c r="J13" s="271">
        <v>7825371</v>
      </c>
      <c r="K13" s="271">
        <f>8351628+135500</f>
        <v>8487128</v>
      </c>
      <c r="L13" s="271">
        <v>8194498</v>
      </c>
      <c r="M13" s="271">
        <v>7591493</v>
      </c>
      <c r="N13" s="271">
        <v>9370543</v>
      </c>
      <c r="O13" s="271">
        <v>8477469</v>
      </c>
      <c r="P13" s="271">
        <v>8368660</v>
      </c>
      <c r="Q13" s="271">
        <v>8259272</v>
      </c>
      <c r="R13" s="271">
        <v>8000740</v>
      </c>
      <c r="S13" s="271">
        <v>7458330</v>
      </c>
      <c r="T13" s="271">
        <v>8494732</v>
      </c>
      <c r="U13" s="271">
        <v>7914860</v>
      </c>
      <c r="V13" s="271">
        <v>6982753</v>
      </c>
      <c r="W13" s="271">
        <v>8341925</v>
      </c>
      <c r="X13" s="271">
        <v>7581847</v>
      </c>
      <c r="Y13" s="271">
        <v>7400024</v>
      </c>
      <c r="Z13" s="271">
        <v>7458737</v>
      </c>
      <c r="AA13" s="271">
        <v>8438680</v>
      </c>
      <c r="AB13" s="271">
        <v>6861312</v>
      </c>
      <c r="AC13" s="271">
        <v>6213932</v>
      </c>
      <c r="AD13" s="271">
        <v>6361622</v>
      </c>
      <c r="AE13" s="271">
        <v>6874991</v>
      </c>
      <c r="AF13" s="271">
        <v>9403211</v>
      </c>
      <c r="AG13" s="272">
        <v>9507770</v>
      </c>
    </row>
    <row r="14" spans="1:33" ht="15" customHeight="1" x14ac:dyDescent="0.25">
      <c r="A14" s="266" t="s">
        <v>295</v>
      </c>
      <c r="B14" s="267">
        <f>SUM(B12:B13)</f>
        <v>69287140</v>
      </c>
      <c r="C14" s="267">
        <f t="shared" ref="C14:U14" si="14">SUM(C12:C13)</f>
        <v>69033196</v>
      </c>
      <c r="D14" s="267">
        <f t="shared" si="14"/>
        <v>68832298</v>
      </c>
      <c r="E14" s="267">
        <f t="shared" si="14"/>
        <v>70269229</v>
      </c>
      <c r="F14" s="267">
        <f t="shared" si="14"/>
        <v>70365249</v>
      </c>
      <c r="G14" s="267">
        <f t="shared" si="14"/>
        <v>71760976</v>
      </c>
      <c r="H14" s="267">
        <f t="shared" si="14"/>
        <v>71926292</v>
      </c>
      <c r="I14" s="267">
        <f t="shared" si="14"/>
        <v>72369700</v>
      </c>
      <c r="J14" s="267">
        <f t="shared" si="14"/>
        <v>72491008</v>
      </c>
      <c r="K14" s="267">
        <f t="shared" si="14"/>
        <v>73779105</v>
      </c>
      <c r="L14" s="267">
        <f t="shared" si="14"/>
        <v>73745672</v>
      </c>
      <c r="M14" s="267">
        <f t="shared" si="14"/>
        <v>73676590</v>
      </c>
      <c r="N14" s="267">
        <f t="shared" si="14"/>
        <v>75618894</v>
      </c>
      <c r="O14" s="267">
        <f t="shared" si="14"/>
        <v>75338514</v>
      </c>
      <c r="P14" s="267">
        <f t="shared" si="14"/>
        <v>75599696</v>
      </c>
      <c r="Q14" s="267">
        <f t="shared" si="14"/>
        <v>72508356</v>
      </c>
      <c r="R14" s="267">
        <f t="shared" si="14"/>
        <v>72470847</v>
      </c>
      <c r="S14" s="267">
        <f t="shared" si="14"/>
        <v>72500884</v>
      </c>
      <c r="T14" s="267">
        <f t="shared" si="14"/>
        <v>72861464</v>
      </c>
      <c r="U14" s="267">
        <f t="shared" si="14"/>
        <v>70208368</v>
      </c>
      <c r="V14" s="267">
        <f t="shared" ref="V14:Y14" si="15">SUM(V12:V13)</f>
        <v>68651984</v>
      </c>
      <c r="W14" s="267">
        <f t="shared" si="15"/>
        <v>68957398</v>
      </c>
      <c r="X14" s="267">
        <f t="shared" si="15"/>
        <v>67675761</v>
      </c>
      <c r="Y14" s="267">
        <f t="shared" si="15"/>
        <v>68039594</v>
      </c>
      <c r="Z14" s="267">
        <f t="shared" ref="Z14:AC14" si="16">SUM(Z12:Z13)</f>
        <v>68253042</v>
      </c>
      <c r="AA14" s="267">
        <f t="shared" si="16"/>
        <v>69056032</v>
      </c>
      <c r="AB14" s="267">
        <f t="shared" si="16"/>
        <v>67631804</v>
      </c>
      <c r="AC14" s="267">
        <f t="shared" si="16"/>
        <v>66889406</v>
      </c>
      <c r="AD14" s="267">
        <v>66939372</v>
      </c>
      <c r="AE14" s="267">
        <f>SUM(AE12:AE13)</f>
        <v>67403630</v>
      </c>
      <c r="AF14" s="267">
        <f>SUM(AF13,AF12)</f>
        <v>69339190</v>
      </c>
      <c r="AG14" s="268">
        <f t="shared" ref="AG14" si="17">SUM(AG12:AG13)</f>
        <v>66771394</v>
      </c>
    </row>
    <row r="15" spans="1:33" ht="15" customHeight="1" x14ac:dyDescent="0.25"/>
    <row r="16" spans="1:33" x14ac:dyDescent="0.25">
      <c r="AC16" s="275"/>
    </row>
  </sheetData>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418D3-D73C-4DB1-8512-E86843D23073}">
  <dimension ref="A1:I4"/>
  <sheetViews>
    <sheetView tabSelected="1" workbookViewId="0">
      <selection activeCell="M29" sqref="M29"/>
    </sheetView>
  </sheetViews>
  <sheetFormatPr defaultColWidth="8.77734375" defaultRowHeight="13.2" x14ac:dyDescent="0.25"/>
  <cols>
    <col min="1" max="1" width="26.21875" style="169" customWidth="1"/>
    <col min="2" max="16384" width="8.77734375" style="169"/>
  </cols>
  <sheetData>
    <row r="1" spans="1:9" ht="26.4" x14ac:dyDescent="0.25">
      <c r="A1" s="157" t="s">
        <v>296</v>
      </c>
      <c r="B1" s="170" t="s">
        <v>257</v>
      </c>
      <c r="C1" s="182" t="s">
        <v>258</v>
      </c>
      <c r="D1" s="170" t="s">
        <v>259</v>
      </c>
      <c r="E1" s="182" t="s">
        <v>260</v>
      </c>
      <c r="F1" s="170" t="s">
        <v>261</v>
      </c>
      <c r="G1" s="170" t="s">
        <v>262</v>
      </c>
      <c r="H1" s="178" t="s">
        <v>263</v>
      </c>
      <c r="I1" s="178" t="s">
        <v>264</v>
      </c>
    </row>
    <row r="2" spans="1:9" x14ac:dyDescent="0.25">
      <c r="A2" s="171" t="s">
        <v>297</v>
      </c>
      <c r="B2" s="179">
        <v>170.4</v>
      </c>
      <c r="C2" s="156">
        <v>167.5</v>
      </c>
      <c r="D2" s="179">
        <v>154.5</v>
      </c>
      <c r="E2" s="156">
        <v>191.3</v>
      </c>
      <c r="F2" s="179">
        <v>158.30000000000001</v>
      </c>
      <c r="G2" s="179">
        <v>148.69999999999999</v>
      </c>
      <c r="H2" s="172">
        <v>126</v>
      </c>
      <c r="I2" s="172">
        <v>150.19999999999999</v>
      </c>
    </row>
    <row r="3" spans="1:9" x14ac:dyDescent="0.25">
      <c r="A3" s="173" t="s">
        <v>298</v>
      </c>
      <c r="B3" s="180">
        <v>21.9</v>
      </c>
      <c r="C3" s="157">
        <v>25.8</v>
      </c>
      <c r="D3" s="180">
        <v>27.7</v>
      </c>
      <c r="E3" s="157">
        <v>37.1</v>
      </c>
      <c r="F3" s="180">
        <v>27.8</v>
      </c>
      <c r="G3" s="180">
        <v>29.2</v>
      </c>
      <c r="H3" s="174">
        <v>32</v>
      </c>
      <c r="I3" s="174">
        <v>42.4</v>
      </c>
    </row>
    <row r="4" spans="1:9" x14ac:dyDescent="0.25">
      <c r="A4" s="175" t="s">
        <v>181</v>
      </c>
      <c r="B4" s="181">
        <f>B2+B3</f>
        <v>192.3</v>
      </c>
      <c r="C4" s="176">
        <f>C2+C3</f>
        <v>193.3</v>
      </c>
      <c r="D4" s="181">
        <v>182.1</v>
      </c>
      <c r="E4" s="176">
        <f>E2+E3</f>
        <v>228.4</v>
      </c>
      <c r="F4" s="181">
        <f>F2+F3</f>
        <v>186.10000000000002</v>
      </c>
      <c r="G4" s="181">
        <f>G2+G3</f>
        <v>177.89999999999998</v>
      </c>
      <c r="H4" s="177">
        <f>H2+H3</f>
        <v>158</v>
      </c>
      <c r="I4" s="177">
        <f>I2+I3</f>
        <v>192.6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P91"/>
  <sheetViews>
    <sheetView showGridLines="0" zoomScale="90" zoomScaleNormal="90" zoomScaleSheetLayoutView="90" workbookViewId="0">
      <pane xSplit="1" ySplit="3" topLeftCell="AI4" activePane="bottomRight" state="frozen"/>
      <selection pane="topRight" activeCell="B1" sqref="B1"/>
      <selection pane="bottomLeft" activeCell="A4" sqref="A4"/>
      <selection pane="bottomRight" activeCell="AI39" sqref="AI39"/>
    </sheetView>
  </sheetViews>
  <sheetFormatPr defaultColWidth="12.6640625" defaultRowHeight="13.2" outlineLevelCol="1" x14ac:dyDescent="0.25"/>
  <cols>
    <col min="1" max="1" width="49.33203125" style="2" customWidth="1"/>
    <col min="2" max="11" width="12.6640625" style="2" hidden="1" customWidth="1" outlineLevel="1"/>
    <col min="12" max="12" width="12.6640625" style="2" hidden="1" customWidth="1" outlineLevel="1" collapsed="1"/>
    <col min="13" max="15" width="12.6640625" style="2" hidden="1" customWidth="1" outlineLevel="1"/>
    <col min="16" max="16" width="12.6640625" style="2" hidden="1" customWidth="1" outlineLevel="1" collapsed="1"/>
    <col min="17" max="19" width="12.6640625" style="2" hidden="1" customWidth="1" outlineLevel="1"/>
    <col min="20" max="20" width="12.6640625" style="2" hidden="1" customWidth="1" collapsed="1"/>
    <col min="21" max="23" width="12.6640625" style="2" hidden="1" customWidth="1"/>
    <col min="24" max="24" width="12.6640625" style="2" customWidth="1"/>
    <col min="25" max="36" width="12.6640625" style="2"/>
    <col min="37" max="38" width="13.33203125" style="2" bestFit="1" customWidth="1"/>
    <col min="39" max="40" width="14.44140625" style="2" customWidth="1"/>
    <col min="41" max="41" width="14" style="2" customWidth="1"/>
    <col min="42" max="16384" width="12.6640625" style="2"/>
  </cols>
  <sheetData>
    <row r="1" spans="1:41" x14ac:dyDescent="0.25">
      <c r="A1" s="1" t="s">
        <v>60</v>
      </c>
    </row>
    <row r="2" spans="1:41" x14ac:dyDescent="0.25">
      <c r="A2" s="5" t="s">
        <v>0</v>
      </c>
      <c r="F2" s="9"/>
      <c r="K2" s="9"/>
      <c r="P2" s="100"/>
      <c r="U2" s="100"/>
      <c r="Z2" s="100"/>
      <c r="AE2" s="100"/>
      <c r="AJ2" s="100"/>
      <c r="AO2" s="100"/>
    </row>
    <row r="3" spans="1:41" ht="15" customHeight="1" x14ac:dyDescent="0.25">
      <c r="A3" s="3"/>
      <c r="B3" s="4" t="s">
        <v>61</v>
      </c>
      <c r="C3" s="4" t="s">
        <v>62</v>
      </c>
      <c r="D3" s="4" t="s">
        <v>63</v>
      </c>
      <c r="E3" s="4" t="s">
        <v>64</v>
      </c>
      <c r="F3" s="7" t="s">
        <v>65</v>
      </c>
      <c r="G3" s="4" t="s">
        <v>66</v>
      </c>
      <c r="H3" s="4" t="s">
        <v>67</v>
      </c>
      <c r="I3" s="4" t="s">
        <v>68</v>
      </c>
      <c r="J3" s="4" t="s">
        <v>69</v>
      </c>
      <c r="K3" s="7" t="s">
        <v>70</v>
      </c>
      <c r="L3" s="4" t="s">
        <v>71</v>
      </c>
      <c r="M3" s="4" t="s">
        <v>72</v>
      </c>
      <c r="N3" s="4" t="s">
        <v>73</v>
      </c>
      <c r="O3" s="4" t="s">
        <v>74</v>
      </c>
      <c r="P3" s="101" t="s">
        <v>75</v>
      </c>
      <c r="Q3" s="4" t="s">
        <v>76</v>
      </c>
      <c r="R3" s="4" t="s">
        <v>77</v>
      </c>
      <c r="S3" s="4" t="s">
        <v>78</v>
      </c>
      <c r="T3" s="4" t="s">
        <v>79</v>
      </c>
      <c r="U3" s="101" t="s">
        <v>80</v>
      </c>
      <c r="V3" s="4" t="s">
        <v>81</v>
      </c>
      <c r="W3" s="4" t="s">
        <v>82</v>
      </c>
      <c r="X3" s="4" t="s">
        <v>83</v>
      </c>
      <c r="Y3" s="4" t="s">
        <v>84</v>
      </c>
      <c r="Z3" s="101" t="s">
        <v>85</v>
      </c>
      <c r="AA3" s="4" t="s">
        <v>86</v>
      </c>
      <c r="AB3" s="4" t="s">
        <v>87</v>
      </c>
      <c r="AC3" s="4" t="s">
        <v>88</v>
      </c>
      <c r="AD3" s="4" t="s">
        <v>89</v>
      </c>
      <c r="AE3" s="101" t="s">
        <v>90</v>
      </c>
      <c r="AF3" s="4" t="s">
        <v>91</v>
      </c>
      <c r="AG3" s="4" t="s">
        <v>92</v>
      </c>
      <c r="AH3" s="4" t="s">
        <v>93</v>
      </c>
      <c r="AI3" s="4" t="s">
        <v>94</v>
      </c>
      <c r="AJ3" s="101" t="s">
        <v>95</v>
      </c>
      <c r="AK3" s="4" t="s">
        <v>96</v>
      </c>
      <c r="AL3" s="4" t="s">
        <v>97</v>
      </c>
      <c r="AM3" s="4" t="s">
        <v>98</v>
      </c>
      <c r="AN3" s="4" t="s">
        <v>99</v>
      </c>
      <c r="AO3" s="101" t="s">
        <v>100</v>
      </c>
    </row>
    <row r="4" spans="1:41" ht="15" customHeight="1" x14ac:dyDescent="0.25">
      <c r="A4" s="3"/>
      <c r="B4" s="3"/>
      <c r="C4" s="3"/>
      <c r="D4" s="3"/>
      <c r="E4" s="3"/>
      <c r="F4" s="6"/>
      <c r="G4" s="3"/>
      <c r="H4" s="3"/>
      <c r="I4" s="3"/>
      <c r="J4" s="3"/>
      <c r="K4" s="6"/>
      <c r="L4" s="3"/>
      <c r="M4" s="3"/>
      <c r="N4" s="3"/>
      <c r="O4" s="3"/>
      <c r="P4" s="102"/>
      <c r="Q4" s="3"/>
      <c r="R4" s="3"/>
      <c r="S4" s="3"/>
      <c r="T4" s="3"/>
      <c r="U4" s="102"/>
      <c r="V4" s="3"/>
      <c r="W4" s="3"/>
      <c r="X4" s="3"/>
      <c r="Y4" s="3"/>
      <c r="Z4" s="102"/>
      <c r="AA4" s="3"/>
      <c r="AB4" s="3"/>
      <c r="AC4" s="3"/>
      <c r="AD4" s="3"/>
      <c r="AE4" s="102"/>
      <c r="AF4" s="3"/>
      <c r="AG4" s="3"/>
      <c r="AH4" s="3"/>
      <c r="AI4" s="3"/>
      <c r="AJ4" s="102"/>
      <c r="AK4" s="3"/>
      <c r="AL4" s="3"/>
      <c r="AM4" s="3"/>
      <c r="AN4" s="3"/>
      <c r="AO4" s="102"/>
    </row>
    <row r="5" spans="1:41" ht="15" customHeight="1" x14ac:dyDescent="0.25">
      <c r="A5" s="2" t="s">
        <v>1</v>
      </c>
      <c r="B5" s="36">
        <f>'Contribution Ex Tac'!B13</f>
        <v>294172</v>
      </c>
      <c r="C5" s="36">
        <f>'Contribution Ex Tac'!C13</f>
        <v>299306</v>
      </c>
      <c r="D5" s="36">
        <f>'Contribution Ex Tac'!D13</f>
        <v>332674</v>
      </c>
      <c r="E5" s="36">
        <f>'Contribution Ex Tac'!E13</f>
        <v>397018</v>
      </c>
      <c r="F5" s="47">
        <f>'Contribution Ex Tac'!F13</f>
        <v>1323169</v>
      </c>
      <c r="G5" s="36">
        <f>'Contribution Ex Tac'!G13</f>
        <v>401253</v>
      </c>
      <c r="H5" s="36">
        <f>'Contribution Ex Tac'!H13</f>
        <v>407201</v>
      </c>
      <c r="I5" s="36">
        <f>'Contribution Ex Tac'!I13</f>
        <v>423867</v>
      </c>
      <c r="J5" s="36">
        <f>'Contribution Ex Tac'!J13</f>
        <v>566825</v>
      </c>
      <c r="K5" s="47">
        <f>'Contribution Ex Tac'!K13</f>
        <v>1799146</v>
      </c>
      <c r="L5" s="36">
        <f>'Contribution Ex Tac'!L13</f>
        <v>516667</v>
      </c>
      <c r="M5" s="36">
        <f>'Contribution Ex Tac'!M13</f>
        <v>542022</v>
      </c>
      <c r="N5" s="36">
        <f>'Contribution Ex Tac'!N13</f>
        <v>563973</v>
      </c>
      <c r="O5" s="36">
        <f>'Contribution Ex Tac'!O13</f>
        <v>674031</v>
      </c>
      <c r="P5" s="103">
        <f>'Contribution Ex Tac'!P13</f>
        <v>2296692</v>
      </c>
      <c r="Q5" s="36">
        <f>'Contribution Ex Tac'!Q13</f>
        <v>564164</v>
      </c>
      <c r="R5" s="36">
        <f>'Contribution Ex Tac'!R13</f>
        <v>537185</v>
      </c>
      <c r="S5" s="36">
        <f>'Contribution Ex Tac'!S13</f>
        <v>528869</v>
      </c>
      <c r="T5" s="36">
        <f>'Contribution Ex Tac'!T13</f>
        <v>670096</v>
      </c>
      <c r="U5" s="103">
        <f>'Contribution Ex Tac'!U13</f>
        <v>2300314</v>
      </c>
      <c r="V5" s="36">
        <f>'Contribution Ex Tac'!V13</f>
        <v>558123</v>
      </c>
      <c r="W5" s="36">
        <f>'Contribution Ex Tac'!W13</f>
        <v>528147</v>
      </c>
      <c r="X5" s="36">
        <f>'Contribution Ex Tac'!X13</f>
        <v>522606</v>
      </c>
      <c r="Y5" s="36">
        <f>'Contribution Ex Tac'!Y13</f>
        <v>652640</v>
      </c>
      <c r="Z5" s="103">
        <f>'Contribution Ex Tac'!Z13</f>
        <v>2261516</v>
      </c>
      <c r="AA5" s="36">
        <f>'Contribution Ex Tac'!AA13</f>
        <v>503376</v>
      </c>
      <c r="AB5" s="36">
        <f>'Contribution Ex Tac'!AB13</f>
        <v>437614</v>
      </c>
      <c r="AC5" s="36">
        <f>'Contribution Ex Tac'!AC13</f>
        <v>470345</v>
      </c>
      <c r="AD5" s="36">
        <f>'Contribution Ex Tac'!AD13</f>
        <v>661282</v>
      </c>
      <c r="AE5" s="103">
        <f>'Contribution Ex Tac'!AE13</f>
        <v>2072617</v>
      </c>
      <c r="AF5" s="36">
        <f>'Contribution Ex Tac'!AF13</f>
        <v>541077</v>
      </c>
      <c r="AG5" s="36">
        <f>'Contribution Ex Tac'!AG13</f>
        <v>551311</v>
      </c>
      <c r="AH5" s="36">
        <f>'Contribution Ex Tac'!AH13</f>
        <v>508580</v>
      </c>
      <c r="AI5" s="36">
        <f>'Contribution Ex Tac'!AI32</f>
        <v>653267</v>
      </c>
      <c r="AJ5" s="103">
        <f>'Contribution Ex Tac'!AJ32</f>
        <v>2254235</v>
      </c>
      <c r="AK5" s="36">
        <f>'Contribution Ex Tac'!AK32</f>
        <v>510567</v>
      </c>
      <c r="AL5" s="36">
        <f>'Contribution Ex Tac'!AL32</f>
        <v>495090</v>
      </c>
      <c r="AM5" s="36">
        <f>'Contribution Ex Tac'!AM32</f>
        <v>446921</v>
      </c>
      <c r="AN5" s="36">
        <f>'Contribution Ex Tac'!AN32</f>
        <v>564425</v>
      </c>
      <c r="AO5" s="103">
        <f>'Contribution Ex Tac'!AO32</f>
        <v>2017003</v>
      </c>
    </row>
    <row r="6" spans="1:41" ht="15" customHeight="1" x14ac:dyDescent="0.25">
      <c r="A6" s="3"/>
      <c r="B6" s="37"/>
      <c r="C6" s="37"/>
      <c r="D6" s="37"/>
      <c r="E6" s="37"/>
      <c r="F6" s="48"/>
      <c r="G6" s="37"/>
      <c r="H6" s="37"/>
      <c r="I6" s="37"/>
      <c r="J6" s="37"/>
      <c r="K6" s="48"/>
      <c r="L6" s="37"/>
      <c r="M6" s="37"/>
      <c r="N6" s="37"/>
      <c r="O6" s="37"/>
      <c r="P6" s="104"/>
      <c r="Q6" s="37"/>
      <c r="R6" s="37"/>
      <c r="S6" s="37"/>
      <c r="T6" s="37"/>
      <c r="U6" s="104"/>
      <c r="V6" s="37"/>
      <c r="W6" s="37"/>
      <c r="X6" s="37"/>
      <c r="Y6" s="37"/>
      <c r="Z6" s="104"/>
      <c r="AA6" s="37"/>
      <c r="AB6" s="37"/>
      <c r="AC6" s="37"/>
      <c r="AD6" s="37"/>
      <c r="AE6" s="104"/>
      <c r="AF6" s="37"/>
      <c r="AG6" s="37"/>
      <c r="AH6" s="37"/>
      <c r="AI6" s="37"/>
      <c r="AJ6" s="104"/>
      <c r="AK6" s="37"/>
      <c r="AL6" s="37"/>
      <c r="AM6" s="37"/>
      <c r="AN6" s="37"/>
      <c r="AO6" s="104"/>
    </row>
    <row r="7" spans="1:41" ht="15" customHeight="1" x14ac:dyDescent="0.25">
      <c r="A7" s="2" t="s">
        <v>101</v>
      </c>
      <c r="B7" s="37"/>
      <c r="C7" s="37"/>
      <c r="D7" s="37"/>
      <c r="E7" s="37"/>
      <c r="F7" s="48"/>
      <c r="G7" s="37"/>
      <c r="H7" s="37"/>
      <c r="I7" s="37"/>
      <c r="J7" s="37"/>
      <c r="K7" s="48"/>
      <c r="L7" s="37"/>
      <c r="M7" s="37"/>
      <c r="N7" s="37"/>
      <c r="O7" s="37"/>
      <c r="P7" s="104"/>
      <c r="Q7" s="37"/>
      <c r="R7" s="37"/>
      <c r="S7" s="37"/>
      <c r="T7" s="37"/>
      <c r="U7" s="104"/>
      <c r="V7" s="37"/>
      <c r="W7" s="37"/>
      <c r="X7" s="37"/>
      <c r="Y7" s="37"/>
      <c r="Z7" s="104"/>
      <c r="AA7" s="37"/>
      <c r="AB7" s="37"/>
      <c r="AC7" s="37"/>
      <c r="AD7" s="37"/>
      <c r="AE7" s="104"/>
      <c r="AF7" s="37"/>
      <c r="AG7" s="37"/>
      <c r="AH7" s="37"/>
      <c r="AI7" s="37"/>
      <c r="AJ7" s="104"/>
      <c r="AK7" s="37"/>
      <c r="AL7" s="37"/>
      <c r="AM7" s="37"/>
      <c r="AN7" s="37"/>
      <c r="AO7" s="104"/>
    </row>
    <row r="8" spans="1:41" ht="15" customHeight="1" x14ac:dyDescent="0.25">
      <c r="A8" s="132" t="s">
        <v>102</v>
      </c>
      <c r="B8" s="38">
        <f>'Contribution Ex Tac'!B19</f>
        <v>-175888</v>
      </c>
      <c r="C8" s="38">
        <f>'Contribution Ex Tac'!C19</f>
        <v>-177239</v>
      </c>
      <c r="D8" s="38">
        <f>'Contribution Ex Tac'!D19</f>
        <v>-198970</v>
      </c>
      <c r="E8" s="38">
        <f>'Contribution Ex Tac'!E19</f>
        <v>-237056</v>
      </c>
      <c r="F8" s="49">
        <f>'Contribution Ex Tac'!F19</f>
        <v>-789152</v>
      </c>
      <c r="G8" s="38">
        <f>'Contribution Ex Tac'!G19</f>
        <v>-238755</v>
      </c>
      <c r="H8" s="38">
        <f>'Contribution Ex Tac'!H19</f>
        <v>-240969</v>
      </c>
      <c r="I8" s="38">
        <f>'Contribution Ex Tac'!I19</f>
        <v>-247310</v>
      </c>
      <c r="J8" s="38">
        <f>'Contribution Ex Tac'!J19</f>
        <v>-341877</v>
      </c>
      <c r="K8" s="49">
        <f>'Contribution Ex Tac'!K19</f>
        <v>-1068911</v>
      </c>
      <c r="L8" s="38">
        <f>'Contribution Ex Tac'!L19</f>
        <v>-306693</v>
      </c>
      <c r="M8" s="38">
        <f>'Contribution Ex Tac'!M19</f>
        <v>-322200</v>
      </c>
      <c r="N8" s="38">
        <f>'Contribution Ex Tac'!N19</f>
        <v>-329576</v>
      </c>
      <c r="O8" s="38">
        <f>'Contribution Ex Tac'!O19</f>
        <v>-397087</v>
      </c>
      <c r="P8" s="105">
        <f>'Contribution Ex Tac'!P19</f>
        <v>-1355556</v>
      </c>
      <c r="Q8" s="38">
        <f>'Contribution Ex Tac'!Q19</f>
        <v>-323746</v>
      </c>
      <c r="R8" s="38">
        <f>'Contribution Ex Tac'!R19</f>
        <v>-306963</v>
      </c>
      <c r="S8" s="38">
        <f>'Contribution Ex Tac'!S19</f>
        <v>-305387</v>
      </c>
      <c r="T8" s="38">
        <f>'Contribution Ex Tac'!T19</f>
        <v>-398238</v>
      </c>
      <c r="U8" s="105">
        <f>'Contribution Ex Tac'!U19</f>
        <v>-1334334</v>
      </c>
      <c r="V8" s="38">
        <f>'Contribution Ex Tac'!V19</f>
        <v>-322429</v>
      </c>
      <c r="W8" s="38">
        <f>'Contribution Ex Tac'!W19</f>
        <v>-304229</v>
      </c>
      <c r="X8" s="38">
        <f>'Contribution Ex Tac'!X19</f>
        <v>-301901</v>
      </c>
      <c r="Y8" s="38">
        <f>'Contribution Ex Tac'!Y19</f>
        <v>-386388</v>
      </c>
      <c r="Z8" s="105">
        <f>'Contribution Ex Tac'!Z19</f>
        <v>-1314947</v>
      </c>
      <c r="AA8" s="38">
        <f>'Contribution Ex Tac'!AA19</f>
        <v>-297364</v>
      </c>
      <c r="AB8" s="38">
        <f>'Contribution Ex Tac'!AB19</f>
        <v>-257698</v>
      </c>
      <c r="AC8" s="38">
        <f>'Contribution Ex Tac'!AC19</f>
        <v>-284401</v>
      </c>
      <c r="AD8" s="38">
        <f>'Contribution Ex Tac'!AD19</f>
        <v>-408108</v>
      </c>
      <c r="AE8" s="105">
        <f>'Contribution Ex Tac'!AE19</f>
        <v>-1247571</v>
      </c>
      <c r="AF8" s="38">
        <f>'Contribution Ex Tac'!AF19</f>
        <v>-327667</v>
      </c>
      <c r="AG8" s="38">
        <f>'Contribution Ex Tac'!AG19</f>
        <v>-331078</v>
      </c>
      <c r="AH8" s="38">
        <f>'Contribution Ex Tac'!AH19</f>
        <v>-297619</v>
      </c>
      <c r="AI8" s="38">
        <f>'Contribution Ex Tac'!AI38</f>
        <v>-377076</v>
      </c>
      <c r="AJ8" s="105">
        <f>'Contribution Ex Tac'!AJ38</f>
        <v>-1333440</v>
      </c>
      <c r="AK8" s="38">
        <v>-293650</v>
      </c>
      <c r="AL8" s="38">
        <f>'Contribution Ex Tac'!AL38</f>
        <v>-280565</v>
      </c>
      <c r="AM8" s="38">
        <f>'Contribution Ex Tac'!AM38</f>
        <v>-233543</v>
      </c>
      <c r="AN8" s="38">
        <f>'Contribution Ex Tac'!AN38</f>
        <v>-281021</v>
      </c>
      <c r="AO8" s="105">
        <f>'Contribution Ex Tac'!AO38</f>
        <v>-1088779</v>
      </c>
    </row>
    <row r="9" spans="1:41" ht="15" customHeight="1" x14ac:dyDescent="0.25">
      <c r="A9" s="132" t="s">
        <v>103</v>
      </c>
      <c r="B9" s="39">
        <v>-12969</v>
      </c>
      <c r="C9" s="39">
        <v>-14243</v>
      </c>
      <c r="D9" s="39">
        <v>-17206</v>
      </c>
      <c r="E9" s="39">
        <v>-17782</v>
      </c>
      <c r="F9" s="50">
        <v>-62201</v>
      </c>
      <c r="G9" s="39">
        <v>-18338</v>
      </c>
      <c r="H9" s="39">
        <v>-20279</v>
      </c>
      <c r="I9" s="39">
        <v>-22332</v>
      </c>
      <c r="J9" s="39">
        <v>-24309</v>
      </c>
      <c r="K9" s="50">
        <v>-85260</v>
      </c>
      <c r="L9" s="39">
        <v>-27155</v>
      </c>
      <c r="M9" s="39">
        <v>-32808</v>
      </c>
      <c r="N9" s="39">
        <v>-29951</v>
      </c>
      <c r="O9" s="39">
        <v>-31727</v>
      </c>
      <c r="P9" s="106">
        <v>-121641</v>
      </c>
      <c r="Q9" s="39">
        <v>-30059</v>
      </c>
      <c r="R9" s="39">
        <v>-29957</v>
      </c>
      <c r="S9" s="39">
        <v>-32921</v>
      </c>
      <c r="T9" s="39">
        <v>-38807</v>
      </c>
      <c r="U9" s="106">
        <v>-131744</v>
      </c>
      <c r="V9" s="39">
        <v>-26045</v>
      </c>
      <c r="W9" s="39">
        <v>-29059</v>
      </c>
      <c r="X9" s="39">
        <v>-31101</v>
      </c>
      <c r="Y9" s="39">
        <v>-31328</v>
      </c>
      <c r="Z9" s="106">
        <v>-117533</v>
      </c>
      <c r="AA9" s="39">
        <v>-33806</v>
      </c>
      <c r="AB9" s="39">
        <v>-33914</v>
      </c>
      <c r="AC9" s="39">
        <v>-34608</v>
      </c>
      <c r="AD9" s="39">
        <v>-34700</v>
      </c>
      <c r="AE9" s="106">
        <v>-137028</v>
      </c>
      <c r="AF9" s="39">
        <v>-34712</v>
      </c>
      <c r="AG9" s="39">
        <v>-37364</v>
      </c>
      <c r="AH9" s="39">
        <v>-34935</v>
      </c>
      <c r="AI9" s="39">
        <v>-31840</v>
      </c>
      <c r="AJ9" s="106">
        <v>-138851</v>
      </c>
      <c r="AK9" s="39">
        <v>-32893</v>
      </c>
      <c r="AL9" s="39">
        <v>-29550</v>
      </c>
      <c r="AM9" s="39">
        <v>-33771</v>
      </c>
      <c r="AN9" s="39">
        <v>-36810</v>
      </c>
      <c r="AO9" s="106">
        <v>-133024</v>
      </c>
    </row>
    <row r="10" spans="1:41" ht="15" customHeight="1" x14ac:dyDescent="0.25">
      <c r="A10" s="3"/>
      <c r="B10" s="35"/>
      <c r="C10" s="35"/>
      <c r="D10" s="35"/>
      <c r="E10" s="35"/>
      <c r="F10" s="51"/>
      <c r="G10" s="35"/>
      <c r="H10" s="35"/>
      <c r="I10" s="35"/>
      <c r="J10" s="35"/>
      <c r="K10" s="51"/>
      <c r="L10" s="35"/>
      <c r="M10" s="35"/>
      <c r="N10" s="35"/>
      <c r="O10" s="35"/>
      <c r="P10" s="107"/>
      <c r="Q10" s="35"/>
      <c r="R10" s="35"/>
      <c r="S10" s="35"/>
      <c r="T10" s="35"/>
      <c r="U10" s="107"/>
      <c r="V10" s="35"/>
      <c r="W10" s="35"/>
      <c r="X10" s="35"/>
      <c r="Y10" s="35"/>
      <c r="Z10" s="107"/>
      <c r="AA10" s="35"/>
      <c r="AB10" s="35"/>
      <c r="AC10" s="35"/>
      <c r="AD10" s="35"/>
      <c r="AE10" s="107"/>
      <c r="AF10" s="35"/>
      <c r="AG10" s="35"/>
      <c r="AH10" s="35"/>
      <c r="AI10" s="35"/>
      <c r="AJ10" s="107"/>
      <c r="AK10" s="35"/>
      <c r="AL10" s="35"/>
      <c r="AM10" s="35"/>
      <c r="AN10" s="35"/>
      <c r="AO10" s="107"/>
    </row>
    <row r="11" spans="1:41" ht="15" customHeight="1" thickBot="1" x14ac:dyDescent="0.3">
      <c r="A11" s="2" t="s">
        <v>104</v>
      </c>
      <c r="B11" s="40">
        <f t="shared" ref="B11:G11" si="0">SUM(B5, B8:B9)</f>
        <v>105315</v>
      </c>
      <c r="C11" s="40">
        <f t="shared" si="0"/>
        <v>107824</v>
      </c>
      <c r="D11" s="40">
        <f t="shared" si="0"/>
        <v>116498</v>
      </c>
      <c r="E11" s="40">
        <f t="shared" si="0"/>
        <v>142180</v>
      </c>
      <c r="F11" s="52">
        <f t="shared" si="0"/>
        <v>471816</v>
      </c>
      <c r="G11" s="40">
        <f t="shared" si="0"/>
        <v>144160</v>
      </c>
      <c r="H11" s="40">
        <f>SUM(H5,H8:H9)</f>
        <v>145953</v>
      </c>
      <c r="I11" s="40">
        <v>154225</v>
      </c>
      <c r="J11" s="40">
        <f t="shared" ref="J11:K11" si="1">SUM(J5,J8:J9)</f>
        <v>200639</v>
      </c>
      <c r="K11" s="52">
        <f t="shared" si="1"/>
        <v>644975</v>
      </c>
      <c r="L11" s="40">
        <f>SUM(L5,L8:L9)</f>
        <v>182819</v>
      </c>
      <c r="M11" s="40">
        <f>SUM(M5,M8:M9)</f>
        <v>187014</v>
      </c>
      <c r="N11" s="40">
        <v>204446</v>
      </c>
      <c r="O11" s="40">
        <f t="shared" ref="O11:P11" si="2">SUM(O5,O8:O9)</f>
        <v>245217</v>
      </c>
      <c r="P11" s="108">
        <f t="shared" si="2"/>
        <v>819495</v>
      </c>
      <c r="Q11" s="40">
        <f>SUM(Q5,Q8:Q9)</f>
        <v>210359</v>
      </c>
      <c r="R11" s="40">
        <f>SUM(R5,R8:R9)</f>
        <v>200265</v>
      </c>
      <c r="S11" s="40">
        <f>SUM(S5,S8:S9)</f>
        <v>190561</v>
      </c>
      <c r="T11" s="40">
        <f t="shared" ref="T11:U11" si="3">SUM(T5,T8:T9)</f>
        <v>233051</v>
      </c>
      <c r="U11" s="108">
        <f t="shared" si="3"/>
        <v>834236</v>
      </c>
      <c r="V11" s="40">
        <f>SUM(V5,V8:V9)</f>
        <v>209649</v>
      </c>
      <c r="W11" s="40">
        <f>SUM(W5,W8:W9)</f>
        <v>194859</v>
      </c>
      <c r="X11" s="40">
        <f>SUM(X5,X8:X9)</f>
        <v>189604</v>
      </c>
      <c r="Y11" s="40">
        <f t="shared" ref="Y11:Z11" si="4">SUM(Y5,Y8:Y9)</f>
        <v>234924</v>
      </c>
      <c r="Z11" s="108">
        <f t="shared" si="4"/>
        <v>829036</v>
      </c>
      <c r="AA11" s="40">
        <f>SUM(AA5,AA8:AA9)</f>
        <v>172206</v>
      </c>
      <c r="AB11" s="40">
        <f>SUM(AB5,AB8:AB9)</f>
        <v>146002</v>
      </c>
      <c r="AC11" s="40">
        <f>SUM(AC5,AC8:AC9)</f>
        <v>151336</v>
      </c>
      <c r="AD11" s="40">
        <f t="shared" ref="AD11:AE11" si="5">SUM(AD5,AD8:AD9)</f>
        <v>218474</v>
      </c>
      <c r="AE11" s="108">
        <f t="shared" si="5"/>
        <v>688018</v>
      </c>
      <c r="AF11" s="40">
        <f>SUM(AF5,AF8:AF9)</f>
        <v>178698</v>
      </c>
      <c r="AG11" s="40">
        <f>SUM(AG5,AG8:AG9)</f>
        <v>182869</v>
      </c>
      <c r="AH11" s="40">
        <f>SUM(AH5,AH8:AH9)</f>
        <v>176026</v>
      </c>
      <c r="AI11" s="40">
        <f>SUM(AI5,AI8:AI9)</f>
        <v>244351</v>
      </c>
      <c r="AJ11" s="108">
        <f t="shared" ref="AJ11" si="6">SUM(AJ5,AJ8:AJ9)</f>
        <v>781944</v>
      </c>
      <c r="AK11" s="40">
        <f>SUM(AK5,AK8:AK9)</f>
        <v>184024</v>
      </c>
      <c r="AL11" s="40">
        <f>SUM(AL5,AL8:AL9)</f>
        <v>184975</v>
      </c>
      <c r="AM11" s="40">
        <f>SUM(AM5,AM8:AM9)</f>
        <v>179607</v>
      </c>
      <c r="AN11" s="40">
        <f>SUM(AN5,AN8:AN9)</f>
        <v>246594</v>
      </c>
      <c r="AO11" s="108">
        <f>SUM(AO5,AO8:AO9)</f>
        <v>795200</v>
      </c>
    </row>
    <row r="12" spans="1:41" ht="15" customHeight="1" thickTop="1" x14ac:dyDescent="0.25">
      <c r="A12" s="3"/>
      <c r="B12" s="35"/>
      <c r="C12" s="35"/>
      <c r="D12" s="35"/>
      <c r="E12" s="35"/>
      <c r="F12" s="51"/>
      <c r="G12" s="35"/>
      <c r="H12" s="35"/>
      <c r="I12" s="35"/>
      <c r="J12" s="35"/>
      <c r="K12" s="51"/>
      <c r="L12" s="35"/>
      <c r="M12" s="35"/>
      <c r="N12" s="35"/>
      <c r="O12" s="35"/>
      <c r="P12" s="107"/>
      <c r="Q12" s="35"/>
      <c r="R12" s="35"/>
      <c r="S12" s="35"/>
      <c r="T12" s="35"/>
      <c r="U12" s="107"/>
      <c r="V12" s="35"/>
      <c r="W12" s="35"/>
      <c r="X12" s="35"/>
      <c r="Y12" s="35"/>
      <c r="Z12" s="107"/>
      <c r="AA12" s="35"/>
      <c r="AB12" s="35"/>
      <c r="AC12" s="35"/>
      <c r="AD12" s="78"/>
      <c r="AE12" s="159"/>
      <c r="AF12" s="35"/>
      <c r="AG12" s="35"/>
      <c r="AH12" s="35"/>
      <c r="AI12" s="78"/>
      <c r="AJ12" s="107"/>
      <c r="AK12" s="35"/>
      <c r="AL12" s="35"/>
      <c r="AM12" s="35"/>
      <c r="AN12" s="35"/>
      <c r="AO12" s="107"/>
    </row>
    <row r="13" spans="1:41" ht="15" customHeight="1" x14ac:dyDescent="0.25">
      <c r="A13" s="2" t="s">
        <v>105</v>
      </c>
      <c r="B13" s="35"/>
      <c r="C13" s="35"/>
      <c r="D13" s="35"/>
      <c r="E13" s="35"/>
      <c r="F13" s="51"/>
      <c r="G13" s="35"/>
      <c r="H13" s="35"/>
      <c r="I13" s="35"/>
      <c r="J13" s="35"/>
      <c r="K13" s="51"/>
      <c r="L13" s="35"/>
      <c r="M13" s="35"/>
      <c r="N13" s="35"/>
      <c r="O13" s="35"/>
      <c r="P13" s="107"/>
      <c r="Q13" s="35"/>
      <c r="R13" s="35"/>
      <c r="S13" s="35"/>
      <c r="T13" s="35"/>
      <c r="U13" s="107"/>
      <c r="V13" s="35"/>
      <c r="W13" s="35"/>
      <c r="X13" s="35"/>
      <c r="Y13" s="35"/>
      <c r="Z13" s="107"/>
      <c r="AA13" s="35"/>
      <c r="AB13" s="35"/>
      <c r="AC13" s="35"/>
      <c r="AD13" s="35"/>
      <c r="AE13" s="107"/>
      <c r="AF13" s="35"/>
      <c r="AG13" s="35"/>
      <c r="AH13" s="35"/>
      <c r="AI13" s="35"/>
      <c r="AJ13" s="107"/>
      <c r="AK13" s="35"/>
      <c r="AL13" s="35"/>
      <c r="AM13" s="35"/>
      <c r="AN13" s="35"/>
      <c r="AO13" s="107"/>
    </row>
    <row r="14" spans="1:41" ht="15" customHeight="1" x14ac:dyDescent="0.25">
      <c r="A14" s="132" t="s">
        <v>106</v>
      </c>
      <c r="B14" s="39">
        <v>-17846</v>
      </c>
      <c r="C14" s="39">
        <v>-19853</v>
      </c>
      <c r="D14" s="39">
        <v>-22442</v>
      </c>
      <c r="E14" s="39">
        <v>-26665</v>
      </c>
      <c r="F14" s="50">
        <v>-86807</v>
      </c>
      <c r="G14" s="39">
        <v>-27162</v>
      </c>
      <c r="H14" s="39">
        <v>-30235</v>
      </c>
      <c r="I14" s="39">
        <v>-30701</v>
      </c>
      <c r="J14" s="39">
        <v>-35552</v>
      </c>
      <c r="K14" s="50">
        <v>-123649</v>
      </c>
      <c r="L14" s="39">
        <v>-39521</v>
      </c>
      <c r="M14" s="39">
        <v>-43611</v>
      </c>
      <c r="N14" s="39">
        <v>-43860</v>
      </c>
      <c r="O14" s="39">
        <v>-46933</v>
      </c>
      <c r="P14" s="106">
        <v>-173925</v>
      </c>
      <c r="Q14" s="39">
        <v>-45318</v>
      </c>
      <c r="R14" s="39">
        <v>-47544</v>
      </c>
      <c r="S14" s="39">
        <v>-41796</v>
      </c>
      <c r="T14" s="39">
        <v>-44605</v>
      </c>
      <c r="U14" s="106">
        <v>-179263</v>
      </c>
      <c r="V14" s="39">
        <v>-46577</v>
      </c>
      <c r="W14" s="39">
        <v>-44015</v>
      </c>
      <c r="X14" s="39">
        <v>-41414</v>
      </c>
      <c r="Y14" s="39">
        <v>-40585</v>
      </c>
      <c r="Z14" s="106">
        <v>-172591</v>
      </c>
      <c r="AA14" s="39">
        <v>-37515</v>
      </c>
      <c r="AB14" s="39">
        <v>-31247</v>
      </c>
      <c r="AC14" s="39">
        <v>-30954</v>
      </c>
      <c r="AD14" s="39">
        <v>-32797</v>
      </c>
      <c r="AE14" s="106">
        <v>-132513</v>
      </c>
      <c r="AF14" s="39">
        <v>-31697</v>
      </c>
      <c r="AG14" s="39">
        <v>-41915</v>
      </c>
      <c r="AH14" s="39">
        <v>-33345</v>
      </c>
      <c r="AI14" s="39">
        <v>-44860</v>
      </c>
      <c r="AJ14" s="106">
        <v>-151817</v>
      </c>
      <c r="AK14" s="39">
        <v>-34027</v>
      </c>
      <c r="AL14" s="39">
        <v>-41496</v>
      </c>
      <c r="AM14" s="39">
        <v>-42725</v>
      </c>
      <c r="AN14" s="39">
        <v>-69348</v>
      </c>
      <c r="AO14" s="105">
        <v>-187596</v>
      </c>
    </row>
    <row r="15" spans="1:41" ht="15" customHeight="1" x14ac:dyDescent="0.25">
      <c r="A15" s="132" t="s">
        <v>107</v>
      </c>
      <c r="B15" s="39">
        <v>-53083</v>
      </c>
      <c r="C15" s="39">
        <v>-59727</v>
      </c>
      <c r="D15" s="39">
        <v>-56310</v>
      </c>
      <c r="E15" s="39">
        <v>-60410</v>
      </c>
      <c r="F15" s="50">
        <v>-229530</v>
      </c>
      <c r="G15" s="39">
        <v>-64473</v>
      </c>
      <c r="H15" s="39">
        <v>-69225</v>
      </c>
      <c r="I15" s="39">
        <v>-68164</v>
      </c>
      <c r="J15" s="39">
        <v>-80991</v>
      </c>
      <c r="K15" s="50">
        <v>-282853</v>
      </c>
      <c r="L15" s="39">
        <v>-90730</v>
      </c>
      <c r="M15" s="39">
        <v>-97900</v>
      </c>
      <c r="N15" s="39">
        <v>-95184</v>
      </c>
      <c r="O15" s="39">
        <v>-96834</v>
      </c>
      <c r="P15" s="106">
        <v>-380649</v>
      </c>
      <c r="Q15" s="39">
        <v>-95649</v>
      </c>
      <c r="R15" s="39">
        <v>-92726</v>
      </c>
      <c r="S15" s="39">
        <v>-90526</v>
      </c>
      <c r="T15" s="39">
        <v>-93806</v>
      </c>
      <c r="U15" s="106">
        <v>-372707</v>
      </c>
      <c r="V15" s="39">
        <v>-95909</v>
      </c>
      <c r="W15" s="39">
        <v>-95503</v>
      </c>
      <c r="X15" s="39">
        <v>-85985</v>
      </c>
      <c r="Y15" s="39">
        <v>-98080</v>
      </c>
      <c r="Z15" s="106">
        <v>-375477</v>
      </c>
      <c r="AA15" s="39">
        <v>-84974</v>
      </c>
      <c r="AB15" s="39">
        <v>-75781</v>
      </c>
      <c r="AC15" s="39">
        <v>-83659</v>
      </c>
      <c r="AD15" s="39">
        <v>-85871</v>
      </c>
      <c r="AE15" s="106">
        <v>-330285</v>
      </c>
      <c r="AF15" s="39">
        <v>-79354</v>
      </c>
      <c r="AG15" s="39">
        <v>-80751</v>
      </c>
      <c r="AH15" s="39">
        <v>-75619</v>
      </c>
      <c r="AI15" s="39">
        <v>-89892</v>
      </c>
      <c r="AJ15" s="106">
        <v>-325616</v>
      </c>
      <c r="AK15" s="39">
        <v>-88999</v>
      </c>
      <c r="AL15" s="39">
        <v>-99313</v>
      </c>
      <c r="AM15" s="39">
        <v>-90051</v>
      </c>
      <c r="AN15" s="39">
        <v>-99633</v>
      </c>
      <c r="AO15" s="106">
        <v>-377996</v>
      </c>
    </row>
    <row r="16" spans="1:41" ht="15" customHeight="1" x14ac:dyDescent="0.25">
      <c r="A16" s="132" t="s">
        <v>108</v>
      </c>
      <c r="B16" s="41">
        <v>-17546</v>
      </c>
      <c r="C16" s="41">
        <v>-20404</v>
      </c>
      <c r="D16" s="41">
        <v>-19915</v>
      </c>
      <c r="E16" s="41">
        <v>-21280</v>
      </c>
      <c r="F16" s="53">
        <v>-79145</v>
      </c>
      <c r="G16" s="41">
        <v>-24737</v>
      </c>
      <c r="H16" s="41">
        <v>-28610</v>
      </c>
      <c r="I16" s="41">
        <v>-32492</v>
      </c>
      <c r="J16" s="41">
        <v>-31630</v>
      </c>
      <c r="K16" s="53">
        <v>-117469</v>
      </c>
      <c r="L16" s="41">
        <v>-31516</v>
      </c>
      <c r="M16" s="41">
        <v>-32239</v>
      </c>
      <c r="N16" s="41">
        <v>-32389</v>
      </c>
      <c r="O16" s="41">
        <v>-30934</v>
      </c>
      <c r="P16" s="109">
        <v>-127077</v>
      </c>
      <c r="Q16" s="41">
        <f>-34585-6</f>
        <v>-34591</v>
      </c>
      <c r="R16" s="41">
        <v>-35644</v>
      </c>
      <c r="S16" s="41">
        <v>-32463</v>
      </c>
      <c r="T16" s="41">
        <v>-32461</v>
      </c>
      <c r="U16" s="109">
        <v>-135159</v>
      </c>
      <c r="V16" s="41">
        <v>-33770</v>
      </c>
      <c r="W16" s="41">
        <v>-35767</v>
      </c>
      <c r="X16" s="41">
        <v>-32835</v>
      </c>
      <c r="Y16" s="41">
        <v>-37382</v>
      </c>
      <c r="Z16" s="109">
        <v>-139754</v>
      </c>
      <c r="AA16" s="41">
        <v>-25915</v>
      </c>
      <c r="AB16" s="41">
        <v>-29185</v>
      </c>
      <c r="AC16" s="41">
        <v>-28672</v>
      </c>
      <c r="AD16" s="41">
        <v>-32623</v>
      </c>
      <c r="AE16" s="109">
        <v>-116395</v>
      </c>
      <c r="AF16" s="41">
        <v>-33428</v>
      </c>
      <c r="AG16" s="41">
        <v>-40474</v>
      </c>
      <c r="AH16" s="41">
        <v>-34877</v>
      </c>
      <c r="AI16" s="41">
        <v>-43855</v>
      </c>
      <c r="AJ16" s="109">
        <v>-152634</v>
      </c>
      <c r="AK16" s="41">
        <v>-33336</v>
      </c>
      <c r="AL16" s="41">
        <v>-100672</v>
      </c>
      <c r="AM16" s="41">
        <v>-42353</v>
      </c>
      <c r="AN16" s="41">
        <v>-28969</v>
      </c>
      <c r="AO16" s="109">
        <v>-205330</v>
      </c>
    </row>
    <row r="17" spans="1:42" ht="15" customHeight="1" x14ac:dyDescent="0.25">
      <c r="A17" s="132" t="s">
        <v>109</v>
      </c>
      <c r="B17" s="42">
        <f>SUM(B14:B16)</f>
        <v>-88475</v>
      </c>
      <c r="C17" s="42">
        <f t="shared" ref="C17:E17" si="7">SUM(C14:C16)</f>
        <v>-99984</v>
      </c>
      <c r="D17" s="42">
        <f t="shared" si="7"/>
        <v>-98667</v>
      </c>
      <c r="E17" s="42">
        <f t="shared" si="7"/>
        <v>-108355</v>
      </c>
      <c r="F17" s="54">
        <f t="shared" ref="F17" si="8">SUM(F14:F16)</f>
        <v>-395482</v>
      </c>
      <c r="G17" s="42">
        <f>SUM(G14:G16)</f>
        <v>-116372</v>
      </c>
      <c r="H17" s="42">
        <f>SUM(H14:H16)</f>
        <v>-128070</v>
      </c>
      <c r="I17" s="42">
        <v>-131357</v>
      </c>
      <c r="J17" s="42">
        <f>SUM(J14:J16)</f>
        <v>-148173</v>
      </c>
      <c r="K17" s="54">
        <f>SUM(K14:K16)</f>
        <v>-523971</v>
      </c>
      <c r="L17" s="42">
        <f>SUM(L14:L16)</f>
        <v>-161767</v>
      </c>
      <c r="M17" s="42">
        <f>SUM(M14:M16)</f>
        <v>-173750</v>
      </c>
      <c r="N17" s="42">
        <v>-171433</v>
      </c>
      <c r="O17" s="42">
        <f t="shared" ref="O17:U17" si="9">SUM(O14:O16)</f>
        <v>-174701</v>
      </c>
      <c r="P17" s="110">
        <f t="shared" si="9"/>
        <v>-681651</v>
      </c>
      <c r="Q17" s="42">
        <f t="shared" si="9"/>
        <v>-175558</v>
      </c>
      <c r="R17" s="42">
        <f t="shared" si="9"/>
        <v>-175914</v>
      </c>
      <c r="S17" s="42">
        <f t="shared" si="9"/>
        <v>-164785</v>
      </c>
      <c r="T17" s="42">
        <f t="shared" si="9"/>
        <v>-170872</v>
      </c>
      <c r="U17" s="110">
        <f t="shared" si="9"/>
        <v>-687129</v>
      </c>
      <c r="V17" s="42">
        <f t="shared" ref="V17:Z17" si="10">SUM(V14:V16)</f>
        <v>-176256</v>
      </c>
      <c r="W17" s="42">
        <f t="shared" si="10"/>
        <v>-175285</v>
      </c>
      <c r="X17" s="42">
        <f t="shared" si="10"/>
        <v>-160234</v>
      </c>
      <c r="Y17" s="42">
        <f t="shared" si="10"/>
        <v>-176047</v>
      </c>
      <c r="Z17" s="110">
        <f t="shared" si="10"/>
        <v>-687822</v>
      </c>
      <c r="AA17" s="42">
        <f t="shared" ref="AA17:AE17" si="11">SUM(AA14:AA16)</f>
        <v>-148404</v>
      </c>
      <c r="AB17" s="42">
        <f t="shared" si="11"/>
        <v>-136213</v>
      </c>
      <c r="AC17" s="42">
        <f t="shared" si="11"/>
        <v>-143285</v>
      </c>
      <c r="AD17" s="42">
        <f>SUM(AD14:AD16)</f>
        <v>-151291</v>
      </c>
      <c r="AE17" s="110">
        <f t="shared" si="11"/>
        <v>-579193</v>
      </c>
      <c r="AF17" s="42">
        <f t="shared" ref="AF17:AH17" si="12">SUM(AF14:AF16)</f>
        <v>-144479</v>
      </c>
      <c r="AG17" s="42">
        <f t="shared" si="12"/>
        <v>-163140</v>
      </c>
      <c r="AH17" s="42">
        <f t="shared" si="12"/>
        <v>-143841</v>
      </c>
      <c r="AI17" s="42">
        <f t="shared" ref="AI17:AJ17" si="13">SUM(AI14:AI16)</f>
        <v>-178607</v>
      </c>
      <c r="AJ17" s="110">
        <f t="shared" si="13"/>
        <v>-630067</v>
      </c>
      <c r="AK17" s="42">
        <f>SUM(AK14:AK16)</f>
        <v>-156362</v>
      </c>
      <c r="AL17" s="42">
        <f>SUM(AL14:AL16)</f>
        <v>-241481</v>
      </c>
      <c r="AM17" s="42">
        <f t="shared" ref="AM17:AO17" si="14">SUM(AM14:AM16)</f>
        <v>-175129</v>
      </c>
      <c r="AN17" s="42">
        <f t="shared" si="14"/>
        <v>-197950</v>
      </c>
      <c r="AO17" s="110">
        <f t="shared" si="14"/>
        <v>-770922</v>
      </c>
    </row>
    <row r="18" spans="1:42" ht="15" customHeight="1" x14ac:dyDescent="0.25">
      <c r="A18" s="2" t="s">
        <v>110</v>
      </c>
      <c r="B18" s="42">
        <f>SUM(B11, B17)</f>
        <v>16840</v>
      </c>
      <c r="C18" s="42">
        <f t="shared" ref="C18:E18" si="15">SUM(C11, C17)</f>
        <v>7840</v>
      </c>
      <c r="D18" s="42">
        <f t="shared" si="15"/>
        <v>17831</v>
      </c>
      <c r="E18" s="42">
        <f t="shared" si="15"/>
        <v>33825</v>
      </c>
      <c r="F18" s="54">
        <f t="shared" ref="F18" si="16">SUM(F11, F17)</f>
        <v>76334</v>
      </c>
      <c r="G18" s="42">
        <f>SUM(G11, G17)</f>
        <v>27788</v>
      </c>
      <c r="H18" s="42">
        <f>SUM(H11,H17)</f>
        <v>17883</v>
      </c>
      <c r="I18" s="42">
        <v>22868</v>
      </c>
      <c r="J18" s="42">
        <f>SUM(J11,J17)</f>
        <v>52466</v>
      </c>
      <c r="K18" s="54">
        <f>SUM(K11,K17)</f>
        <v>121004</v>
      </c>
      <c r="L18" s="42">
        <f>SUM(L11,L17)</f>
        <v>21052</v>
      </c>
      <c r="M18" s="42">
        <f>SUM(M11,M17)</f>
        <v>13264</v>
      </c>
      <c r="N18" s="42">
        <v>33013</v>
      </c>
      <c r="O18" s="42">
        <f t="shared" ref="O18:U18" si="17">SUM(O11,O17)</f>
        <v>70516</v>
      </c>
      <c r="P18" s="110">
        <f t="shared" si="17"/>
        <v>137844</v>
      </c>
      <c r="Q18" s="42">
        <f t="shared" si="17"/>
        <v>34801</v>
      </c>
      <c r="R18" s="42">
        <f t="shared" si="17"/>
        <v>24351</v>
      </c>
      <c r="S18" s="42">
        <f t="shared" si="17"/>
        <v>25776</v>
      </c>
      <c r="T18" s="42">
        <f t="shared" si="17"/>
        <v>62179</v>
      </c>
      <c r="U18" s="110">
        <f t="shared" si="17"/>
        <v>147107</v>
      </c>
      <c r="V18" s="42">
        <f t="shared" ref="V18:Z18" si="18">SUM(V11,V17)</f>
        <v>33393</v>
      </c>
      <c r="W18" s="42">
        <f t="shared" si="18"/>
        <v>19574</v>
      </c>
      <c r="X18" s="42">
        <f t="shared" si="18"/>
        <v>29370</v>
      </c>
      <c r="Y18" s="42">
        <f t="shared" si="18"/>
        <v>58877</v>
      </c>
      <c r="Z18" s="110">
        <f t="shared" si="18"/>
        <v>141214</v>
      </c>
      <c r="AA18" s="42">
        <f t="shared" ref="AA18:AE18" si="19">SUM(AA11,AA17)</f>
        <v>23802</v>
      </c>
      <c r="AB18" s="42">
        <f t="shared" si="19"/>
        <v>9789</v>
      </c>
      <c r="AC18" s="42">
        <f t="shared" si="19"/>
        <v>8051</v>
      </c>
      <c r="AD18" s="42">
        <f>SUM(AD11,AD17)</f>
        <v>67183</v>
      </c>
      <c r="AE18" s="110">
        <f t="shared" si="19"/>
        <v>108825</v>
      </c>
      <c r="AF18" s="42">
        <f t="shared" ref="AF18:AH18" si="20">SUM(AF11,AF17)</f>
        <v>34219</v>
      </c>
      <c r="AG18" s="42">
        <f t="shared" si="20"/>
        <v>19729</v>
      </c>
      <c r="AH18" s="42">
        <f t="shared" si="20"/>
        <v>32185</v>
      </c>
      <c r="AI18" s="42">
        <f>SUM(AI11,AI17)</f>
        <v>65744</v>
      </c>
      <c r="AJ18" s="110">
        <f t="shared" ref="AJ18" si="21">SUM(AJ11,AJ17)</f>
        <v>151877</v>
      </c>
      <c r="AK18" s="42">
        <f>SUM(AK11,AK17)</f>
        <v>27662</v>
      </c>
      <c r="AL18" s="42">
        <f>SUM(AL11,AL17)</f>
        <v>-56506</v>
      </c>
      <c r="AM18" s="42">
        <f>SUM(AM11,AM17)</f>
        <v>4478</v>
      </c>
      <c r="AN18" s="42">
        <f>SUM(AN11,AN17)</f>
        <v>48644</v>
      </c>
      <c r="AO18" s="110">
        <f t="shared" ref="AO18" si="22">SUM(AO11,AO17)</f>
        <v>24278</v>
      </c>
    </row>
    <row r="19" spans="1:42" ht="15" customHeight="1" x14ac:dyDescent="0.25">
      <c r="A19" s="2" t="s">
        <v>111</v>
      </c>
      <c r="B19" s="43">
        <v>3920</v>
      </c>
      <c r="C19" s="43">
        <v>-2546</v>
      </c>
      <c r="D19" s="43">
        <v>-6650</v>
      </c>
      <c r="E19" s="43">
        <v>735</v>
      </c>
      <c r="F19" s="55">
        <v>-4541</v>
      </c>
      <c r="G19" s="43">
        <v>-1317</v>
      </c>
      <c r="H19" s="43">
        <v>-94</v>
      </c>
      <c r="I19" s="43">
        <v>-570</v>
      </c>
      <c r="J19" s="43">
        <v>1435</v>
      </c>
      <c r="K19" s="55">
        <v>-546</v>
      </c>
      <c r="L19" s="43">
        <v>-2333</v>
      </c>
      <c r="M19" s="43">
        <v>-2094</v>
      </c>
      <c r="N19" s="43">
        <v>-2886</v>
      </c>
      <c r="O19" s="43">
        <v>-2221</v>
      </c>
      <c r="P19" s="111">
        <v>-9534</v>
      </c>
      <c r="Q19" s="43">
        <v>-1325</v>
      </c>
      <c r="R19" s="43">
        <v>-1006</v>
      </c>
      <c r="S19" s="43">
        <v>-1007</v>
      </c>
      <c r="T19" s="43">
        <v>-1746</v>
      </c>
      <c r="U19" s="111">
        <v>-5084</v>
      </c>
      <c r="V19" s="43">
        <v>-1974</v>
      </c>
      <c r="W19" s="43">
        <v>-1354</v>
      </c>
      <c r="X19" s="43">
        <v>-900</v>
      </c>
      <c r="Y19" s="43">
        <v>-1521</v>
      </c>
      <c r="Z19" s="111">
        <v>-5749</v>
      </c>
      <c r="AA19" s="43">
        <v>-334</v>
      </c>
      <c r="AB19" s="43">
        <v>-1003</v>
      </c>
      <c r="AC19" s="43">
        <v>-491</v>
      </c>
      <c r="AD19" s="43">
        <v>-111</v>
      </c>
      <c r="AE19" s="111">
        <v>-1939</v>
      </c>
      <c r="AF19" s="43">
        <v>-718</v>
      </c>
      <c r="AG19" s="43">
        <v>-519</v>
      </c>
      <c r="AH19" s="43">
        <v>-154</v>
      </c>
      <c r="AI19" s="43">
        <v>3330</v>
      </c>
      <c r="AJ19" s="111">
        <v>1939</v>
      </c>
      <c r="AK19" s="43">
        <v>4030</v>
      </c>
      <c r="AL19" s="43">
        <v>16412</v>
      </c>
      <c r="AM19" s="43">
        <v>3485</v>
      </c>
      <c r="AN19" s="43">
        <v>-6144</v>
      </c>
      <c r="AO19" s="111">
        <v>17783</v>
      </c>
    </row>
    <row r="20" spans="1:42" ht="15" customHeight="1" x14ac:dyDescent="0.25">
      <c r="A20" s="2" t="s">
        <v>112</v>
      </c>
      <c r="B20" s="42">
        <f>SUM(B18:B19)</f>
        <v>20760</v>
      </c>
      <c r="C20" s="42">
        <f t="shared" ref="C20:E20" si="23">SUM(C18:C19)</f>
        <v>5294</v>
      </c>
      <c r="D20" s="42">
        <f t="shared" si="23"/>
        <v>11181</v>
      </c>
      <c r="E20" s="42">
        <f t="shared" si="23"/>
        <v>34560</v>
      </c>
      <c r="F20" s="54">
        <v>71793</v>
      </c>
      <c r="G20" s="42">
        <f>SUM(G18:G19)</f>
        <v>26471</v>
      </c>
      <c r="H20" s="42">
        <f>SUM(H18:H19)</f>
        <v>17789</v>
      </c>
      <c r="I20" s="42">
        <v>22298</v>
      </c>
      <c r="J20" s="42">
        <f>SUM(J18:J19)</f>
        <v>53901</v>
      </c>
      <c r="K20" s="54">
        <f>SUM(K18:K19)</f>
        <v>120458</v>
      </c>
      <c r="L20" s="42">
        <f>SUM(L18:L19)</f>
        <v>18719</v>
      </c>
      <c r="M20" s="42">
        <f>SUM(M18:M19)</f>
        <v>11170</v>
      </c>
      <c r="N20" s="42">
        <v>30127</v>
      </c>
      <c r="O20" s="42">
        <f t="shared" ref="O20:Z20" si="24">SUM(O18:O19)</f>
        <v>68295</v>
      </c>
      <c r="P20" s="110">
        <f t="shared" si="24"/>
        <v>128310</v>
      </c>
      <c r="Q20" s="42">
        <f t="shared" si="24"/>
        <v>33476</v>
      </c>
      <c r="R20" s="42">
        <f t="shared" si="24"/>
        <v>23345</v>
      </c>
      <c r="S20" s="42">
        <f t="shared" si="24"/>
        <v>24769</v>
      </c>
      <c r="T20" s="42">
        <f t="shared" si="24"/>
        <v>60433</v>
      </c>
      <c r="U20" s="110">
        <f t="shared" si="24"/>
        <v>142023</v>
      </c>
      <c r="V20" s="42">
        <f t="shared" si="24"/>
        <v>31419</v>
      </c>
      <c r="W20" s="42">
        <f t="shared" si="24"/>
        <v>18220</v>
      </c>
      <c r="X20" s="42">
        <f t="shared" si="24"/>
        <v>28470</v>
      </c>
      <c r="Y20" s="42">
        <f t="shared" si="24"/>
        <v>57356</v>
      </c>
      <c r="Z20" s="110">
        <f t="shared" si="24"/>
        <v>135465</v>
      </c>
      <c r="AA20" s="42">
        <f>SUM(AA18:AA19)</f>
        <v>23468</v>
      </c>
      <c r="AB20" s="42">
        <f t="shared" ref="AB20:AE20" si="25">SUM(AB18:AB19)</f>
        <v>8786</v>
      </c>
      <c r="AC20" s="42">
        <f t="shared" si="25"/>
        <v>7560</v>
      </c>
      <c r="AD20" s="42">
        <f>SUM(AD18:AD19)</f>
        <v>67072</v>
      </c>
      <c r="AE20" s="110">
        <f t="shared" si="25"/>
        <v>106886</v>
      </c>
      <c r="AF20" s="42">
        <f>SUM(AF18:AF19)</f>
        <v>33501</v>
      </c>
      <c r="AG20" s="42">
        <f t="shared" ref="AG20:AH20" si="26">SUM(AG18:AG19)</f>
        <v>19210</v>
      </c>
      <c r="AH20" s="42">
        <f t="shared" si="26"/>
        <v>32031</v>
      </c>
      <c r="AI20" s="42">
        <f t="shared" ref="AI20:AJ20" si="27">SUM(AI18:AI19)</f>
        <v>69074</v>
      </c>
      <c r="AJ20" s="110">
        <f t="shared" si="27"/>
        <v>153816</v>
      </c>
      <c r="AK20" s="42">
        <f>SUM(AK18:AK19)</f>
        <v>31692</v>
      </c>
      <c r="AL20" s="42">
        <f>SUM(AL18:AL19)</f>
        <v>-40094</v>
      </c>
      <c r="AM20" s="42">
        <f>SUM(AM18:AM19)</f>
        <v>7963</v>
      </c>
      <c r="AN20" s="42">
        <f t="shared" ref="AN20:AO20" si="28">SUM(AN18:AN19)</f>
        <v>42500</v>
      </c>
      <c r="AO20" s="110">
        <f t="shared" si="28"/>
        <v>42061</v>
      </c>
    </row>
    <row r="21" spans="1:42" ht="15" customHeight="1" x14ac:dyDescent="0.25">
      <c r="A21" s="2" t="s">
        <v>113</v>
      </c>
      <c r="B21" s="43">
        <v>-7143</v>
      </c>
      <c r="C21" s="43">
        <v>-1365</v>
      </c>
      <c r="D21" s="43">
        <v>-5388</v>
      </c>
      <c r="E21" s="43">
        <v>4378</v>
      </c>
      <c r="F21" s="55">
        <v>-9517</v>
      </c>
      <c r="G21" s="43">
        <v>-7944</v>
      </c>
      <c r="H21" s="43">
        <v>-4450</v>
      </c>
      <c r="I21" s="43">
        <v>-7574</v>
      </c>
      <c r="J21" s="43">
        <v>-13161</v>
      </c>
      <c r="K21" s="55">
        <v>-33129</v>
      </c>
      <c r="L21" s="43">
        <v>-4201</v>
      </c>
      <c r="M21" s="43">
        <v>-3665</v>
      </c>
      <c r="N21" s="43">
        <v>-7858</v>
      </c>
      <c r="O21" s="43">
        <v>-15927</v>
      </c>
      <c r="P21" s="111">
        <v>-31651</v>
      </c>
      <c r="Q21" s="43">
        <v>-12386</v>
      </c>
      <c r="R21" s="43">
        <v>-8638</v>
      </c>
      <c r="S21" s="43">
        <v>-6821</v>
      </c>
      <c r="T21" s="43">
        <v>-18299</v>
      </c>
      <c r="U21" s="111">
        <v>-46144</v>
      </c>
      <c r="V21" s="43">
        <v>-10018</v>
      </c>
      <c r="W21" s="43">
        <v>-5683</v>
      </c>
      <c r="X21" s="43">
        <v>-7913</v>
      </c>
      <c r="Y21" s="43">
        <v>-15882</v>
      </c>
      <c r="Z21" s="111">
        <v>-39496</v>
      </c>
      <c r="AA21" s="43">
        <v>-7040</v>
      </c>
      <c r="AB21" s="43">
        <v>-2636</v>
      </c>
      <c r="AC21" s="43">
        <v>-2267</v>
      </c>
      <c r="AD21" s="43">
        <v>-20254</v>
      </c>
      <c r="AE21" s="111">
        <v>-32197</v>
      </c>
      <c r="AF21" s="43">
        <v>-10051</v>
      </c>
      <c r="AG21" s="43">
        <v>-4181</v>
      </c>
      <c r="AH21" s="43">
        <v>-7801</v>
      </c>
      <c r="AI21" s="43">
        <v>5864</v>
      </c>
      <c r="AJ21" s="111">
        <v>-16169</v>
      </c>
      <c r="AK21" s="43">
        <v>-10414</v>
      </c>
      <c r="AL21" s="43">
        <v>7121</v>
      </c>
      <c r="AM21" s="43">
        <v>-1442</v>
      </c>
      <c r="AN21" s="43">
        <v>-26451</v>
      </c>
      <c r="AO21" s="111">
        <v>-31186</v>
      </c>
    </row>
    <row r="22" spans="1:42" ht="15" customHeight="1" thickBot="1" x14ac:dyDescent="0.3">
      <c r="A22" s="2" t="s">
        <v>114</v>
      </c>
      <c r="B22" s="44">
        <f>SUM(B20:B21)</f>
        <v>13617</v>
      </c>
      <c r="C22" s="44">
        <f t="shared" ref="C22:E22" si="29">SUM(C20:C21)</f>
        <v>3929</v>
      </c>
      <c r="D22" s="44">
        <f t="shared" si="29"/>
        <v>5793</v>
      </c>
      <c r="E22" s="44">
        <f t="shared" si="29"/>
        <v>38938</v>
      </c>
      <c r="F22" s="56">
        <f t="shared" ref="F22" si="30">SUM(F20:F21)</f>
        <v>62276</v>
      </c>
      <c r="G22" s="44">
        <f>SUM(G20:G21)</f>
        <v>18527</v>
      </c>
      <c r="H22" s="44">
        <f>SUM(H20:H21)</f>
        <v>13339</v>
      </c>
      <c r="I22" s="44">
        <v>14724</v>
      </c>
      <c r="J22" s="44">
        <f t="shared" ref="J22:P22" si="31">SUM(J20:J21)</f>
        <v>40740</v>
      </c>
      <c r="K22" s="56">
        <f t="shared" si="31"/>
        <v>87329</v>
      </c>
      <c r="L22" s="44">
        <f t="shared" si="31"/>
        <v>14518</v>
      </c>
      <c r="M22" s="44">
        <f>SUM(M20:M21)</f>
        <v>7505</v>
      </c>
      <c r="N22" s="44">
        <v>22269</v>
      </c>
      <c r="O22" s="44">
        <f t="shared" si="31"/>
        <v>52368</v>
      </c>
      <c r="P22" s="112">
        <f t="shared" si="31"/>
        <v>96659</v>
      </c>
      <c r="Q22" s="44">
        <f>SUM(Q20:Q21)</f>
        <v>21090</v>
      </c>
      <c r="R22" s="44">
        <f>SUM(R20:R21)</f>
        <v>14707</v>
      </c>
      <c r="S22" s="44">
        <f>SUM(S20:S21)</f>
        <v>17948</v>
      </c>
      <c r="T22" s="44">
        <f t="shared" ref="T22:U22" si="32">SUM(T20:T21)</f>
        <v>42134</v>
      </c>
      <c r="U22" s="112">
        <f t="shared" si="32"/>
        <v>95879</v>
      </c>
      <c r="V22" s="44">
        <f>SUM(V20:V21)</f>
        <v>21401</v>
      </c>
      <c r="W22" s="44">
        <f>SUM(W20:W21)</f>
        <v>12537</v>
      </c>
      <c r="X22" s="44">
        <f>SUM(X20:X21)</f>
        <v>20557</v>
      </c>
      <c r="Y22" s="44">
        <f t="shared" ref="Y22:Z22" si="33">SUM(Y20:Y21)</f>
        <v>41474</v>
      </c>
      <c r="Z22" s="112">
        <f t="shared" si="33"/>
        <v>95969</v>
      </c>
      <c r="AA22" s="44">
        <f>SUM(AA20:AA21)</f>
        <v>16428</v>
      </c>
      <c r="AB22" s="44">
        <f>SUM(AB20:AB21)</f>
        <v>6150</v>
      </c>
      <c r="AC22" s="44">
        <f>SUM(AC20:AC21)</f>
        <v>5293</v>
      </c>
      <c r="AD22" s="44">
        <f>SUM(AD20:AD21)</f>
        <v>46818</v>
      </c>
      <c r="AE22" s="112">
        <f t="shared" ref="AE22" si="34">SUM(AE20:AE21)</f>
        <v>74689</v>
      </c>
      <c r="AF22" s="44">
        <f>SUM(AF20:AF21)</f>
        <v>23450</v>
      </c>
      <c r="AG22" s="44">
        <f>SUM(AG20:AG21)</f>
        <v>15029</v>
      </c>
      <c r="AH22" s="44">
        <f>SUM(AH20:AH21)</f>
        <v>24230</v>
      </c>
      <c r="AI22" s="44">
        <f t="shared" ref="AI22:AJ22" si="35">SUM(AI20:AI21)</f>
        <v>74938</v>
      </c>
      <c r="AJ22" s="112">
        <f t="shared" si="35"/>
        <v>137647</v>
      </c>
      <c r="AK22" s="44">
        <f>SUM(AK20:AK21)</f>
        <v>21278</v>
      </c>
      <c r="AL22" s="44">
        <f>SUM(AL20:AL21)</f>
        <v>-32973</v>
      </c>
      <c r="AM22" s="44">
        <f>SUM(AM20:AM21)</f>
        <v>6521</v>
      </c>
      <c r="AN22" s="44">
        <f t="shared" ref="AN22:AO22" si="36">SUM(AN20:AN21)</f>
        <v>16049</v>
      </c>
      <c r="AO22" s="112">
        <f t="shared" si="36"/>
        <v>10875</v>
      </c>
    </row>
    <row r="23" spans="1:42" ht="15" customHeight="1" thickTop="1" x14ac:dyDescent="0.25">
      <c r="A23" s="3"/>
      <c r="B23" s="37"/>
      <c r="C23" s="37"/>
      <c r="D23" s="37"/>
      <c r="E23" s="37"/>
      <c r="F23" s="48"/>
      <c r="G23" s="37"/>
      <c r="H23" s="37"/>
      <c r="I23" s="37"/>
      <c r="J23" s="37"/>
      <c r="K23" s="48"/>
      <c r="L23" s="37"/>
      <c r="M23" s="37"/>
      <c r="N23" s="37"/>
      <c r="O23" s="37"/>
      <c r="P23" s="104"/>
      <c r="Q23" s="37"/>
      <c r="R23" s="37"/>
      <c r="S23" s="37"/>
      <c r="T23" s="37"/>
      <c r="U23" s="104"/>
      <c r="V23" s="37"/>
      <c r="W23" s="37"/>
      <c r="X23" s="37"/>
      <c r="Y23" s="37"/>
      <c r="Z23" s="104"/>
      <c r="AA23" s="37"/>
      <c r="AB23" s="37"/>
      <c r="AC23" s="37"/>
      <c r="AD23" s="37"/>
      <c r="AE23" s="104"/>
      <c r="AF23" s="37"/>
      <c r="AG23" s="37"/>
      <c r="AH23" s="37"/>
      <c r="AI23" s="37"/>
      <c r="AJ23" s="104"/>
      <c r="AK23" s="37"/>
      <c r="AL23" s="37"/>
      <c r="AM23" s="37"/>
      <c r="AN23" s="37"/>
      <c r="AO23" s="104"/>
    </row>
    <row r="24" spans="1:42" ht="15" customHeight="1" thickBot="1" x14ac:dyDescent="0.3">
      <c r="A24" s="2" t="s">
        <v>115</v>
      </c>
      <c r="B24" s="44">
        <f>B22-B25</f>
        <v>12982</v>
      </c>
      <c r="C24" s="44">
        <f t="shared" ref="C24:E24" si="37">C22-C25</f>
        <v>3540</v>
      </c>
      <c r="D24" s="44">
        <f t="shared" si="37"/>
        <v>5096</v>
      </c>
      <c r="E24" s="44">
        <f t="shared" si="37"/>
        <v>37936</v>
      </c>
      <c r="F24" s="56">
        <f t="shared" ref="F24" si="38">F22-F25</f>
        <v>59553</v>
      </c>
      <c r="G24" s="44">
        <f>G22-G25</f>
        <v>17131</v>
      </c>
      <c r="H24" s="44">
        <f>H22-H25</f>
        <v>12200</v>
      </c>
      <c r="I24" s="44">
        <v>13539</v>
      </c>
      <c r="J24" s="44">
        <f>J22-J25</f>
        <v>39403</v>
      </c>
      <c r="K24" s="56">
        <f>K22-K25</f>
        <v>82272</v>
      </c>
      <c r="L24" s="44">
        <f>L22-L25</f>
        <v>12442</v>
      </c>
      <c r="M24" s="44">
        <f>M22-M25</f>
        <v>5970</v>
      </c>
      <c r="N24" s="44">
        <v>19774</v>
      </c>
      <c r="O24" s="44">
        <f t="shared" ref="O24:X24" si="39">O22-O25</f>
        <v>53030</v>
      </c>
      <c r="P24" s="112">
        <f t="shared" si="39"/>
        <v>91214</v>
      </c>
      <c r="Q24" s="44">
        <f t="shared" si="39"/>
        <v>19809</v>
      </c>
      <c r="R24" s="44">
        <f t="shared" si="39"/>
        <v>13726</v>
      </c>
      <c r="S24" s="44">
        <f t="shared" si="39"/>
        <v>17143</v>
      </c>
      <c r="T24" s="44">
        <f t="shared" si="39"/>
        <v>37966</v>
      </c>
      <c r="U24" s="112">
        <f t="shared" si="39"/>
        <v>88644</v>
      </c>
      <c r="V24" s="44">
        <f t="shared" si="39"/>
        <v>19120</v>
      </c>
      <c r="W24" s="44">
        <f t="shared" si="39"/>
        <v>10823</v>
      </c>
      <c r="X24" s="44">
        <f t="shared" si="39"/>
        <v>18778</v>
      </c>
      <c r="Y24" s="44">
        <f t="shared" ref="Y24:AC24" si="40">Y22-Y25</f>
        <v>42024</v>
      </c>
      <c r="Z24" s="112">
        <f t="shared" si="40"/>
        <v>90745</v>
      </c>
      <c r="AA24" s="44">
        <f t="shared" si="40"/>
        <v>15459</v>
      </c>
      <c r="AB24" s="44">
        <f t="shared" si="40"/>
        <v>5716</v>
      </c>
      <c r="AC24" s="44">
        <f t="shared" si="40"/>
        <v>5227</v>
      </c>
      <c r="AD24" s="44">
        <f>AD22-AD25</f>
        <v>45277</v>
      </c>
      <c r="AE24" s="112">
        <f t="shared" ref="AE24:AH24" si="41">AE22-AE25</f>
        <v>71679</v>
      </c>
      <c r="AF24" s="44">
        <f t="shared" si="41"/>
        <v>22406</v>
      </c>
      <c r="AG24" s="44">
        <f t="shared" si="41"/>
        <v>14804</v>
      </c>
      <c r="AH24" s="44">
        <f t="shared" si="41"/>
        <v>23481</v>
      </c>
      <c r="AI24" s="44">
        <f t="shared" ref="AI24:AK24" si="42">AI22-AI25</f>
        <v>73765</v>
      </c>
      <c r="AJ24" s="112">
        <f t="shared" si="42"/>
        <v>134456</v>
      </c>
      <c r="AK24" s="44">
        <f t="shared" si="42"/>
        <v>20587</v>
      </c>
      <c r="AL24" s="44">
        <f>AL22-AL25</f>
        <v>-33614</v>
      </c>
      <c r="AM24" s="44">
        <f t="shared" ref="AM24:AO24" si="43">AM22-AM25</f>
        <v>6579</v>
      </c>
      <c r="AN24" s="44">
        <f t="shared" si="43"/>
        <v>15400</v>
      </c>
      <c r="AO24" s="112">
        <f t="shared" si="43"/>
        <v>8952</v>
      </c>
    </row>
    <row r="25" spans="1:42" ht="15" customHeight="1" thickTop="1" thickBot="1" x14ac:dyDescent="0.3">
      <c r="A25" s="2" t="s">
        <v>116</v>
      </c>
      <c r="B25" s="45">
        <v>635</v>
      </c>
      <c r="C25" s="45">
        <v>389</v>
      </c>
      <c r="D25" s="45">
        <v>697</v>
      </c>
      <c r="E25" s="45">
        <v>1002</v>
      </c>
      <c r="F25" s="57">
        <v>2723</v>
      </c>
      <c r="G25" s="45">
        <v>1396</v>
      </c>
      <c r="H25" s="45">
        <v>1139</v>
      </c>
      <c r="I25" s="45">
        <v>1185</v>
      </c>
      <c r="J25" s="45">
        <v>1337</v>
      </c>
      <c r="K25" s="57">
        <v>5057</v>
      </c>
      <c r="L25" s="45">
        <v>2076</v>
      </c>
      <c r="M25" s="45">
        <v>1535</v>
      </c>
      <c r="N25" s="45">
        <v>2495</v>
      </c>
      <c r="O25" s="45">
        <v>-662</v>
      </c>
      <c r="P25" s="113">
        <v>5445</v>
      </c>
      <c r="Q25" s="45">
        <v>1281</v>
      </c>
      <c r="R25" s="45">
        <v>981</v>
      </c>
      <c r="S25" s="45">
        <v>805</v>
      </c>
      <c r="T25" s="45">
        <v>4168</v>
      </c>
      <c r="U25" s="113">
        <v>7235</v>
      </c>
      <c r="V25" s="45">
        <v>2281</v>
      </c>
      <c r="W25" s="45">
        <v>1714</v>
      </c>
      <c r="X25" s="45">
        <v>1779</v>
      </c>
      <c r="Y25" s="45">
        <v>-550</v>
      </c>
      <c r="Z25" s="113">
        <v>5224</v>
      </c>
      <c r="AA25" s="45">
        <v>969</v>
      </c>
      <c r="AB25" s="45">
        <v>434</v>
      </c>
      <c r="AC25" s="45">
        <v>66</v>
      </c>
      <c r="AD25" s="45">
        <v>1541</v>
      </c>
      <c r="AE25" s="113">
        <v>3010</v>
      </c>
      <c r="AF25" s="45">
        <v>1044</v>
      </c>
      <c r="AG25" s="45">
        <v>225</v>
      </c>
      <c r="AH25" s="45">
        <v>749</v>
      </c>
      <c r="AI25" s="45">
        <v>1173</v>
      </c>
      <c r="AJ25" s="113">
        <v>3191</v>
      </c>
      <c r="AK25" s="45">
        <v>691</v>
      </c>
      <c r="AL25" s="45">
        <v>641</v>
      </c>
      <c r="AM25" s="45">
        <v>-58</v>
      </c>
      <c r="AN25" s="45">
        <v>649</v>
      </c>
      <c r="AO25" s="113">
        <v>1923</v>
      </c>
    </row>
    <row r="26" spans="1:42" ht="15" customHeight="1" thickTop="1" x14ac:dyDescent="0.25">
      <c r="A26" s="3"/>
      <c r="B26" s="3"/>
      <c r="C26" s="3"/>
      <c r="D26" s="3"/>
      <c r="E26" s="3"/>
      <c r="F26" s="6"/>
      <c r="G26" s="3"/>
      <c r="H26" s="3"/>
      <c r="I26" s="3"/>
      <c r="J26" s="3"/>
      <c r="K26" s="6"/>
      <c r="L26" s="3"/>
      <c r="M26" s="3"/>
      <c r="N26" s="3"/>
      <c r="O26" s="3"/>
      <c r="P26" s="102"/>
      <c r="Q26" s="3"/>
      <c r="R26" s="3"/>
      <c r="S26" s="3"/>
      <c r="T26" s="3"/>
      <c r="U26" s="102"/>
      <c r="V26" s="3"/>
      <c r="W26" s="3"/>
      <c r="X26" s="3"/>
      <c r="Y26" s="3"/>
      <c r="Z26" s="102"/>
      <c r="AA26" s="3"/>
      <c r="AB26" s="3"/>
      <c r="AC26" s="3"/>
      <c r="AD26" s="3"/>
      <c r="AE26" s="102"/>
      <c r="AF26" s="3"/>
      <c r="AG26" s="3"/>
      <c r="AH26" s="3"/>
      <c r="AI26" s="3"/>
      <c r="AJ26" s="102"/>
      <c r="AK26" s="3"/>
      <c r="AL26" s="3"/>
      <c r="AM26" s="3"/>
      <c r="AN26" s="3"/>
      <c r="AO26" s="102"/>
    </row>
    <row r="27" spans="1:42" ht="26.4" x14ac:dyDescent="0.25">
      <c r="A27" s="2" t="s">
        <v>117</v>
      </c>
      <c r="B27" s="3"/>
      <c r="C27" s="3"/>
      <c r="D27" s="3"/>
      <c r="E27" s="3"/>
      <c r="F27" s="6"/>
      <c r="G27" s="3"/>
      <c r="H27" s="3"/>
      <c r="I27" s="3"/>
      <c r="J27" s="3"/>
      <c r="K27" s="6"/>
      <c r="L27" s="3"/>
      <c r="M27" s="3"/>
      <c r="N27" s="3"/>
      <c r="O27" s="3"/>
      <c r="P27" s="102"/>
      <c r="Q27" s="3"/>
      <c r="R27" s="3"/>
      <c r="S27" s="3"/>
      <c r="T27" s="3"/>
      <c r="U27" s="102"/>
      <c r="V27" s="3"/>
      <c r="W27" s="3"/>
      <c r="X27" s="3"/>
      <c r="Y27" s="3"/>
      <c r="Z27" s="102"/>
      <c r="AA27" s="3"/>
      <c r="AB27" s="3"/>
      <c r="AC27" s="3"/>
      <c r="AD27" s="3"/>
      <c r="AE27" s="102"/>
      <c r="AF27" s="3"/>
      <c r="AG27" s="3"/>
      <c r="AH27" s="3"/>
      <c r="AI27" s="3"/>
      <c r="AJ27" s="102"/>
      <c r="AK27" s="3"/>
      <c r="AL27" s="3"/>
      <c r="AM27" s="3"/>
      <c r="AN27" s="3"/>
      <c r="AO27" s="102"/>
    </row>
    <row r="28" spans="1:42" ht="15" customHeight="1" x14ac:dyDescent="0.25">
      <c r="A28" s="2" t="s">
        <v>118</v>
      </c>
      <c r="B28" s="38">
        <f>'Shares Outstanding'!B6</f>
        <v>61174168</v>
      </c>
      <c r="C28" s="39">
        <v>61719367</v>
      </c>
      <c r="D28" s="39">
        <v>62082110</v>
      </c>
      <c r="E28" s="39">
        <v>62348620</v>
      </c>
      <c r="F28" s="49">
        <f>'Shares Outstanding'!E6</f>
        <v>61835499</v>
      </c>
      <c r="G28" s="38">
        <f>'Shares Outstanding'!F6</f>
        <v>62610013</v>
      </c>
      <c r="H28" s="39">
        <v>63246785</v>
      </c>
      <c r="I28" s="39">
        <v>63628351</v>
      </c>
      <c r="J28" s="39">
        <v>63760491</v>
      </c>
      <c r="K28" s="49">
        <f>'Shares Outstanding'!I6</f>
        <v>63337792</v>
      </c>
      <c r="L28" s="38">
        <f>'Shares Outstanding'!J6</f>
        <v>64189194</v>
      </c>
      <c r="M28" s="39">
        <v>65027985</v>
      </c>
      <c r="N28" s="39">
        <v>65412326</v>
      </c>
      <c r="O28" s="39">
        <v>65919533</v>
      </c>
      <c r="P28" s="105">
        <f>'Shares Outstanding'!M6</f>
        <v>65143036</v>
      </c>
      <c r="Q28" s="38">
        <f>'Shares Outstanding'!N6</f>
        <v>66160375</v>
      </c>
      <c r="R28" s="39">
        <v>66347599</v>
      </c>
      <c r="S28" s="39">
        <v>67075453</v>
      </c>
      <c r="T28" s="39">
        <v>66220030</v>
      </c>
      <c r="U28" s="105">
        <f>'Shares Outstanding'!Q6</f>
        <v>66456890</v>
      </c>
      <c r="V28" s="38">
        <f>'Shares Outstanding'!R6</f>
        <v>64336777</v>
      </c>
      <c r="W28" s="39">
        <v>64581476</v>
      </c>
      <c r="X28" s="39">
        <v>64868545</v>
      </c>
      <c r="Y28" s="39">
        <v>63430621</v>
      </c>
      <c r="Z28" s="105">
        <f>'Shares Outstanding'!U6</f>
        <v>64305965</v>
      </c>
      <c r="AA28" s="38">
        <f>'Shares Outstanding'!V6</f>
        <v>61691001</v>
      </c>
      <c r="AB28" s="39">
        <v>61415467</v>
      </c>
      <c r="AC28" s="39">
        <v>60080598</v>
      </c>
      <c r="AD28" s="39">
        <v>60336486</v>
      </c>
      <c r="AE28" s="105">
        <f>'Shares Outstanding'!Y6</f>
        <v>60876480</v>
      </c>
      <c r="AF28" s="38">
        <f>'Shares Outstanding'!Z6</f>
        <v>60741674</v>
      </c>
      <c r="AG28" s="39">
        <v>60663301</v>
      </c>
      <c r="AH28" s="39">
        <v>60873594</v>
      </c>
      <c r="AI28" s="39">
        <v>60590826</v>
      </c>
      <c r="AJ28" s="105">
        <f>'Shares Outstanding'!AC6</f>
        <v>60717446</v>
      </c>
      <c r="AK28" s="39">
        <v>60738299</v>
      </c>
      <c r="AL28" s="39">
        <v>60240344</v>
      </c>
      <c r="AM28" s="39">
        <v>60318114</v>
      </c>
      <c r="AN28" s="39">
        <v>58732771</v>
      </c>
      <c r="AO28" s="105">
        <f>'Shares Outstanding'!AG6</f>
        <v>60004706.519230776</v>
      </c>
      <c r="AP28" s="152"/>
    </row>
    <row r="29" spans="1:42" ht="15" customHeight="1" x14ac:dyDescent="0.25">
      <c r="A29" s="2" t="s">
        <v>119</v>
      </c>
      <c r="B29" s="38">
        <f>'Shares Outstanding'!B8</f>
        <v>64741942</v>
      </c>
      <c r="C29" s="39">
        <v>65279611</v>
      </c>
      <c r="D29" s="39">
        <v>65254238</v>
      </c>
      <c r="E29" s="39">
        <v>65092423</v>
      </c>
      <c r="F29" s="49">
        <f>'Shares Outstanding'!E8</f>
        <v>65096486</v>
      </c>
      <c r="G29" s="38">
        <f>'Shares Outstanding'!F8</f>
        <v>64841134</v>
      </c>
      <c r="H29" s="39">
        <v>65625097</v>
      </c>
      <c r="I29" s="39">
        <v>65816422</v>
      </c>
      <c r="J29" s="39">
        <v>66145704</v>
      </c>
      <c r="K29" s="49">
        <f>'Shares Outstanding'!I8</f>
        <v>65633470</v>
      </c>
      <c r="L29" s="38">
        <f>'Shares Outstanding'!J8</f>
        <v>67283012</v>
      </c>
      <c r="M29" s="39">
        <v>68131274</v>
      </c>
      <c r="N29" s="39">
        <v>68200343</v>
      </c>
      <c r="O29" s="39">
        <v>67770156</v>
      </c>
      <c r="P29" s="105">
        <f>'Shares Outstanding'!M8</f>
        <v>67851971</v>
      </c>
      <c r="Q29" s="38">
        <f>'Shares Outstanding'!N8</f>
        <v>67469738</v>
      </c>
      <c r="R29" s="39">
        <v>67488311</v>
      </c>
      <c r="S29" s="39">
        <v>68625673</v>
      </c>
      <c r="T29" s="39">
        <v>67043794</v>
      </c>
      <c r="U29" s="105">
        <f>'Shares Outstanding'!Q8</f>
        <v>67662904</v>
      </c>
      <c r="V29" s="38">
        <f>'Shares Outstanding'!R8</f>
        <v>66041296</v>
      </c>
      <c r="W29" s="39">
        <v>65624505</v>
      </c>
      <c r="X29" s="39">
        <v>66067045</v>
      </c>
      <c r="Y29" s="39">
        <v>64655065</v>
      </c>
      <c r="Z29" s="105">
        <f>'Shares Outstanding'!U8</f>
        <v>65598588</v>
      </c>
      <c r="AA29" s="38">
        <f>'Shares Outstanding'!V8</f>
        <v>62125582</v>
      </c>
      <c r="AB29" s="39">
        <v>61790135</v>
      </c>
      <c r="AC29" s="39">
        <v>61027795</v>
      </c>
      <c r="AD29" s="39">
        <v>62348489</v>
      </c>
      <c r="AE29" s="105">
        <f>'Shares Outstanding'!Y8</f>
        <v>61818593</v>
      </c>
      <c r="AF29" s="38">
        <f>'Shares Outstanding'!Z8</f>
        <v>64077410</v>
      </c>
      <c r="AG29" s="39">
        <v>64665212</v>
      </c>
      <c r="AH29" s="39">
        <v>64197686</v>
      </c>
      <c r="AI29" s="39">
        <v>63985850</v>
      </c>
      <c r="AJ29" s="105">
        <f>'Shares Outstanding'!AC8</f>
        <v>64231637</v>
      </c>
      <c r="AK29" s="39">
        <v>63613550</v>
      </c>
      <c r="AL29" s="39">
        <v>62303670</v>
      </c>
      <c r="AM29" s="39">
        <v>63235811</v>
      </c>
      <c r="AN29" s="39">
        <v>61898460</v>
      </c>
      <c r="AO29" s="105">
        <f>'Shares Outstanding'!AG8</f>
        <v>62760197.319102503</v>
      </c>
      <c r="AP29" s="152"/>
    </row>
    <row r="30" spans="1:42" ht="15" customHeight="1" x14ac:dyDescent="0.25">
      <c r="A30" s="3"/>
      <c r="B30" s="3"/>
      <c r="C30" s="3"/>
      <c r="D30" s="3"/>
      <c r="E30" s="3"/>
      <c r="F30" s="6"/>
      <c r="G30" s="3"/>
      <c r="H30" s="3"/>
      <c r="I30" s="3"/>
      <c r="J30" s="3"/>
      <c r="K30" s="6"/>
      <c r="L30" s="3"/>
      <c r="M30" s="3"/>
      <c r="N30" s="3"/>
      <c r="O30" s="3"/>
      <c r="P30" s="102"/>
      <c r="Q30" s="3"/>
      <c r="R30" s="3"/>
      <c r="S30" s="3"/>
      <c r="T30" s="3"/>
      <c r="U30" s="102"/>
      <c r="V30" s="3"/>
      <c r="W30" s="3"/>
      <c r="X30" s="3"/>
      <c r="Y30" s="3"/>
      <c r="Z30" s="102"/>
      <c r="AA30" s="3"/>
      <c r="AB30" s="3"/>
      <c r="AC30" s="3"/>
      <c r="AE30" s="102"/>
      <c r="AF30" s="3"/>
      <c r="AG30" s="3"/>
      <c r="AH30" s="3"/>
      <c r="AJ30" s="102"/>
      <c r="AK30" s="3"/>
      <c r="AL30" s="3"/>
      <c r="AM30" s="3"/>
      <c r="AN30" s="3"/>
      <c r="AO30" s="102"/>
    </row>
    <row r="31" spans="1:42" ht="15" customHeight="1" x14ac:dyDescent="0.25">
      <c r="A31" s="2" t="s">
        <v>120</v>
      </c>
      <c r="B31" s="3"/>
      <c r="C31" s="3"/>
      <c r="D31" s="3"/>
      <c r="E31" s="3"/>
      <c r="F31" s="6"/>
      <c r="G31" s="3"/>
      <c r="H31" s="3"/>
      <c r="I31" s="3"/>
      <c r="J31" s="3"/>
      <c r="K31" s="6"/>
      <c r="L31" s="3"/>
      <c r="M31" s="3"/>
      <c r="N31" s="3"/>
      <c r="O31" s="3"/>
      <c r="P31" s="102"/>
      <c r="Q31" s="3"/>
      <c r="R31" s="3"/>
      <c r="S31" s="3"/>
      <c r="T31" s="3"/>
      <c r="U31" s="102"/>
      <c r="V31" s="3"/>
      <c r="W31" s="3"/>
      <c r="X31" s="3"/>
      <c r="Y31" s="3"/>
      <c r="Z31" s="102"/>
      <c r="AA31" s="3"/>
      <c r="AB31" s="3"/>
      <c r="AC31" s="3"/>
      <c r="AD31" s="3"/>
      <c r="AE31" s="102"/>
      <c r="AF31" s="3"/>
      <c r="AG31" s="3"/>
      <c r="AH31" s="3"/>
      <c r="AI31" s="3"/>
      <c r="AJ31" s="102"/>
      <c r="AK31" s="3"/>
      <c r="AL31" s="3"/>
      <c r="AM31" s="3"/>
      <c r="AN31" s="3"/>
      <c r="AO31" s="102"/>
    </row>
    <row r="32" spans="1:42" ht="15" customHeight="1" thickBot="1" x14ac:dyDescent="0.3">
      <c r="A32" s="2" t="s">
        <v>118</v>
      </c>
      <c r="B32" s="46">
        <f>ROUND(B24*1000/B28,2)</f>
        <v>0.21</v>
      </c>
      <c r="C32" s="46">
        <f t="shared" ref="C32:Q32" si="44">ROUND(C24*1000/C28,2)</f>
        <v>0.06</v>
      </c>
      <c r="D32" s="46">
        <f t="shared" si="44"/>
        <v>0.08</v>
      </c>
      <c r="E32" s="46">
        <f t="shared" si="44"/>
        <v>0.61</v>
      </c>
      <c r="F32" s="58">
        <f t="shared" si="44"/>
        <v>0.96</v>
      </c>
      <c r="G32" s="46">
        <f t="shared" si="44"/>
        <v>0.27</v>
      </c>
      <c r="H32" s="46">
        <f t="shared" si="44"/>
        <v>0.19</v>
      </c>
      <c r="I32" s="46">
        <f t="shared" si="44"/>
        <v>0.21</v>
      </c>
      <c r="J32" s="46">
        <f t="shared" si="44"/>
        <v>0.62</v>
      </c>
      <c r="K32" s="58">
        <f t="shared" si="44"/>
        <v>1.3</v>
      </c>
      <c r="L32" s="46">
        <f t="shared" si="44"/>
        <v>0.19</v>
      </c>
      <c r="M32" s="46">
        <f t="shared" si="44"/>
        <v>0.09</v>
      </c>
      <c r="N32" s="46">
        <f t="shared" si="44"/>
        <v>0.3</v>
      </c>
      <c r="O32" s="46">
        <f t="shared" si="44"/>
        <v>0.8</v>
      </c>
      <c r="P32" s="114">
        <f t="shared" si="44"/>
        <v>1.4</v>
      </c>
      <c r="Q32" s="46">
        <f t="shared" si="44"/>
        <v>0.3</v>
      </c>
      <c r="R32" s="46">
        <f t="shared" ref="R32:V32" si="45">ROUND(R24*1000/R28,2)</f>
        <v>0.21</v>
      </c>
      <c r="S32" s="46">
        <f t="shared" si="45"/>
        <v>0.26</v>
      </c>
      <c r="T32" s="46">
        <f t="shared" si="45"/>
        <v>0.56999999999999995</v>
      </c>
      <c r="U32" s="114">
        <f t="shared" si="45"/>
        <v>1.33</v>
      </c>
      <c r="V32" s="46">
        <f t="shared" si="45"/>
        <v>0.3</v>
      </c>
      <c r="W32" s="46">
        <f t="shared" ref="W32:AA32" si="46">ROUND(W24*1000/W28,2)</f>
        <v>0.17</v>
      </c>
      <c r="X32" s="46">
        <f t="shared" si="46"/>
        <v>0.28999999999999998</v>
      </c>
      <c r="Y32" s="46">
        <f t="shared" si="46"/>
        <v>0.66</v>
      </c>
      <c r="Z32" s="114">
        <f t="shared" si="46"/>
        <v>1.41</v>
      </c>
      <c r="AA32" s="46">
        <f t="shared" si="46"/>
        <v>0.25</v>
      </c>
      <c r="AB32" s="46">
        <f t="shared" ref="AB32:AF32" si="47">ROUND(AB24*1000/AB28,2)</f>
        <v>0.09</v>
      </c>
      <c r="AC32" s="46">
        <f t="shared" si="47"/>
        <v>0.09</v>
      </c>
      <c r="AD32" s="46">
        <f>ROUND(AD24*1000/AD28,2)</f>
        <v>0.75</v>
      </c>
      <c r="AE32" s="114">
        <f t="shared" si="47"/>
        <v>1.18</v>
      </c>
      <c r="AF32" s="46">
        <f t="shared" si="47"/>
        <v>0.37</v>
      </c>
      <c r="AG32" s="46">
        <f t="shared" ref="AG32:AH32" si="48">ROUND(AG24*1000/AG28,2)</f>
        <v>0.24</v>
      </c>
      <c r="AH32" s="46">
        <f t="shared" si="48"/>
        <v>0.39</v>
      </c>
      <c r="AI32" s="46">
        <f>ROUND(AI24*1000/AI28,2)</f>
        <v>1.22</v>
      </c>
      <c r="AJ32" s="114">
        <f t="shared" ref="AJ32:AK32" si="49">ROUND(AJ24*1000/AJ28,2)</f>
        <v>2.21</v>
      </c>
      <c r="AK32" s="46">
        <f t="shared" si="49"/>
        <v>0.34</v>
      </c>
      <c r="AL32" s="46">
        <f>ROUND(AL24*1000/AL28,2)</f>
        <v>-0.56000000000000005</v>
      </c>
      <c r="AM32" s="46">
        <f>ROUND(AM24*1000/AM28,2)</f>
        <v>0.11</v>
      </c>
      <c r="AN32" s="46">
        <f>ROUND(AN24*1000/AN28,2)</f>
        <v>0.26</v>
      </c>
      <c r="AO32" s="114">
        <f>ROUND(AO24*1000/AO28,2)</f>
        <v>0.15</v>
      </c>
    </row>
    <row r="33" spans="1:41" ht="15" customHeight="1" thickTop="1" thickBot="1" x14ac:dyDescent="0.3">
      <c r="A33" s="2" t="s">
        <v>119</v>
      </c>
      <c r="B33" s="46">
        <f>ROUND(B24*1000/B29,2)</f>
        <v>0.2</v>
      </c>
      <c r="C33" s="46">
        <f t="shared" ref="C33:Q33" si="50">ROUND(C24*1000/C29,2)</f>
        <v>0.05</v>
      </c>
      <c r="D33" s="46">
        <f t="shared" si="50"/>
        <v>0.08</v>
      </c>
      <c r="E33" s="46">
        <f t="shared" si="50"/>
        <v>0.57999999999999996</v>
      </c>
      <c r="F33" s="58">
        <f t="shared" si="50"/>
        <v>0.91</v>
      </c>
      <c r="G33" s="46">
        <f t="shared" si="50"/>
        <v>0.26</v>
      </c>
      <c r="H33" s="46">
        <f t="shared" si="50"/>
        <v>0.19</v>
      </c>
      <c r="I33" s="46">
        <f t="shared" si="50"/>
        <v>0.21</v>
      </c>
      <c r="J33" s="46">
        <f t="shared" si="50"/>
        <v>0.6</v>
      </c>
      <c r="K33" s="58">
        <f t="shared" si="50"/>
        <v>1.25</v>
      </c>
      <c r="L33" s="46">
        <f t="shared" si="50"/>
        <v>0.18</v>
      </c>
      <c r="M33" s="46">
        <f t="shared" si="50"/>
        <v>0.09</v>
      </c>
      <c r="N33" s="46">
        <f t="shared" si="50"/>
        <v>0.28999999999999998</v>
      </c>
      <c r="O33" s="46">
        <f t="shared" si="50"/>
        <v>0.78</v>
      </c>
      <c r="P33" s="114">
        <f t="shared" si="50"/>
        <v>1.34</v>
      </c>
      <c r="Q33" s="46">
        <f t="shared" si="50"/>
        <v>0.28999999999999998</v>
      </c>
      <c r="R33" s="46">
        <f t="shared" ref="R33:V33" si="51">ROUND(R24*1000/R29,2)</f>
        <v>0.2</v>
      </c>
      <c r="S33" s="46">
        <f t="shared" si="51"/>
        <v>0.25</v>
      </c>
      <c r="T33" s="46">
        <f t="shared" si="51"/>
        <v>0.56999999999999995</v>
      </c>
      <c r="U33" s="114">
        <f t="shared" si="51"/>
        <v>1.31</v>
      </c>
      <c r="V33" s="46">
        <f t="shared" si="51"/>
        <v>0.28999999999999998</v>
      </c>
      <c r="W33" s="46">
        <f t="shared" ref="W33:AA33" si="52">ROUND(W24*1000/W29,2)</f>
        <v>0.16</v>
      </c>
      <c r="X33" s="46">
        <f t="shared" si="52"/>
        <v>0.28000000000000003</v>
      </c>
      <c r="Y33" s="46">
        <f t="shared" si="52"/>
        <v>0.65</v>
      </c>
      <c r="Z33" s="114">
        <f t="shared" si="52"/>
        <v>1.38</v>
      </c>
      <c r="AA33" s="46">
        <f t="shared" si="52"/>
        <v>0.25</v>
      </c>
      <c r="AB33" s="46">
        <f t="shared" ref="AB33:AF33" si="53">ROUND(AB24*1000/AB29,2)</f>
        <v>0.09</v>
      </c>
      <c r="AC33" s="46">
        <f t="shared" si="53"/>
        <v>0.09</v>
      </c>
      <c r="AD33" s="46">
        <f>ROUND(AD24*1000/AD29,2)</f>
        <v>0.73</v>
      </c>
      <c r="AE33" s="114">
        <f t="shared" si="53"/>
        <v>1.1599999999999999</v>
      </c>
      <c r="AF33" s="46">
        <f t="shared" si="53"/>
        <v>0.35</v>
      </c>
      <c r="AG33" s="46">
        <f t="shared" ref="AG33:AH33" si="54">ROUND(AG24*1000/AG29,2)</f>
        <v>0.23</v>
      </c>
      <c r="AH33" s="46">
        <f t="shared" si="54"/>
        <v>0.37</v>
      </c>
      <c r="AI33" s="46">
        <f>ROUND(AI24*1000/AI29,2)</f>
        <v>1.1499999999999999</v>
      </c>
      <c r="AJ33" s="114">
        <f t="shared" ref="AJ33" si="55">ROUND(AJ24*1000/AJ29,2)</f>
        <v>2.09</v>
      </c>
      <c r="AK33" s="46">
        <f>0.32</f>
        <v>0.32</v>
      </c>
      <c r="AL33" s="46">
        <f>ROUND(AL24*1000/AL29,2)</f>
        <v>-0.54</v>
      </c>
      <c r="AM33" s="46">
        <f t="shared" ref="AM33" si="56">ROUND(AM24*1000/AM29,2)</f>
        <v>0.1</v>
      </c>
      <c r="AN33" s="46">
        <f>ROUND(AN24*1000/AN29,2)</f>
        <v>0.25</v>
      </c>
      <c r="AO33" s="114">
        <f t="shared" ref="AO33" si="57">ROUND(AO24*1000/AO29,2)</f>
        <v>0.14000000000000001</v>
      </c>
    </row>
    <row r="34" spans="1:41" ht="15" customHeight="1" thickTop="1" x14ac:dyDescent="0.25">
      <c r="A34" s="3"/>
      <c r="B34" s="3"/>
      <c r="C34" s="3"/>
      <c r="D34" s="3"/>
      <c r="E34" s="3"/>
      <c r="F34" s="6"/>
      <c r="G34" s="3"/>
      <c r="H34" s="3"/>
      <c r="I34" s="3"/>
      <c r="J34" s="3"/>
      <c r="K34" s="6"/>
      <c r="L34" s="3"/>
      <c r="M34" s="3"/>
      <c r="N34" s="3"/>
      <c r="O34" s="3"/>
      <c r="P34" s="102"/>
      <c r="Q34" s="3"/>
      <c r="R34" s="3"/>
      <c r="S34" s="3"/>
      <c r="T34" s="3"/>
      <c r="U34" s="102"/>
      <c r="V34" s="3"/>
      <c r="W34" s="3"/>
      <c r="X34" s="3"/>
      <c r="Y34" s="3"/>
      <c r="Z34" s="102"/>
      <c r="AA34" s="3"/>
      <c r="AC34" s="3"/>
      <c r="AE34" s="102"/>
      <c r="AF34" s="3"/>
      <c r="AH34" s="3"/>
      <c r="AJ34" s="102"/>
      <c r="AK34" s="3"/>
      <c r="AM34" s="3"/>
      <c r="AN34" s="3"/>
      <c r="AO34" s="102"/>
    </row>
    <row r="35" spans="1:41" ht="1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C35" s="3"/>
      <c r="AD35" s="3"/>
      <c r="AE35" s="3"/>
      <c r="AF35" s="3"/>
      <c r="AH35" s="3"/>
      <c r="AI35" s="3"/>
      <c r="AJ35" s="3"/>
      <c r="AK35" s="3"/>
      <c r="AM35" s="3"/>
      <c r="AN35" s="3"/>
      <c r="AO35" s="3"/>
    </row>
    <row r="36" spans="1:41"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C36" s="3"/>
      <c r="AD36" s="3"/>
      <c r="AE36" s="3"/>
      <c r="AF36" s="3"/>
      <c r="AH36" s="3"/>
      <c r="AI36" s="3"/>
      <c r="AJ36" s="3"/>
      <c r="AK36" s="3"/>
      <c r="AM36" s="3"/>
      <c r="AN36" s="3"/>
      <c r="AO36" s="3"/>
    </row>
    <row r="37" spans="1:41"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C37" s="3"/>
      <c r="AD37" s="3"/>
      <c r="AE37" s="3"/>
      <c r="AF37" s="3"/>
      <c r="AH37" s="3"/>
      <c r="AI37" s="3"/>
      <c r="AJ37" s="3"/>
      <c r="AK37" s="3"/>
      <c r="AM37" s="3"/>
      <c r="AN37" s="3"/>
      <c r="AO37" s="3"/>
    </row>
    <row r="38" spans="1:41"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C38" s="3"/>
      <c r="AD38" s="3"/>
      <c r="AE38" s="3"/>
      <c r="AF38" s="3"/>
      <c r="AH38" s="3"/>
      <c r="AI38" s="3"/>
      <c r="AJ38" s="3"/>
      <c r="AK38" s="3"/>
      <c r="AM38" s="3"/>
      <c r="AN38" s="3"/>
      <c r="AO38" s="3"/>
    </row>
    <row r="39" spans="1:41" ht="15" customHeight="1" x14ac:dyDescent="0.25">
      <c r="AD39" s="3"/>
      <c r="AI39" s="3"/>
    </row>
    <row r="40" spans="1:41" ht="15" customHeight="1" x14ac:dyDescent="0.25"/>
    <row r="41" spans="1:41" ht="15" customHeight="1" x14ac:dyDescent="0.25"/>
    <row r="42" spans="1:41" ht="15" customHeight="1" x14ac:dyDescent="0.25"/>
    <row r="43" spans="1:41" ht="15" customHeight="1" x14ac:dyDescent="0.25"/>
    <row r="44" spans="1:41" ht="15" customHeight="1" x14ac:dyDescent="0.25"/>
    <row r="45" spans="1:41" ht="15" customHeight="1" x14ac:dyDescent="0.25"/>
    <row r="46" spans="1:41" ht="15" customHeight="1" x14ac:dyDescent="0.25"/>
    <row r="47" spans="1:41" ht="15" customHeight="1" x14ac:dyDescent="0.25"/>
    <row r="48" spans="1:4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O107"/>
  <sheetViews>
    <sheetView showGridLines="0" zoomScale="84" zoomScaleNormal="84" workbookViewId="0">
      <pane xSplit="11" topLeftCell="AH1" activePane="topRight" state="frozen"/>
      <selection pane="topRight" activeCell="AO17" sqref="AO17"/>
    </sheetView>
  </sheetViews>
  <sheetFormatPr defaultColWidth="12.6640625" defaultRowHeight="13.2" outlineLevelRow="1" outlineLevelCol="1" x14ac:dyDescent="0.25"/>
  <cols>
    <col min="1" max="1" width="76.21875" style="5" customWidth="1"/>
    <col min="2" max="11" width="12.6640625" style="2" hidden="1" customWidth="1" outlineLevel="1"/>
    <col min="12" max="12" width="12.6640625" style="2" hidden="1" customWidth="1" outlineLevel="1" collapsed="1"/>
    <col min="13" max="15" width="12.6640625" style="2" hidden="1" customWidth="1" outlineLevel="1"/>
    <col min="16" max="16" width="12.6640625" style="2" hidden="1" customWidth="1" outlineLevel="1" collapsed="1"/>
    <col min="17" max="18" width="12.6640625" style="2" hidden="1" customWidth="1" outlineLevel="1"/>
    <col min="19" max="19" width="12.6640625" style="2" hidden="1" customWidth="1" collapsed="1"/>
    <col min="20" max="23" width="12.6640625" style="2" hidden="1" customWidth="1"/>
    <col min="24" max="24" width="12.6640625" style="2" customWidth="1"/>
    <col min="25" max="16384" width="12.6640625" style="2"/>
  </cols>
  <sheetData>
    <row r="1" spans="1:41" x14ac:dyDescent="0.25">
      <c r="A1" s="10" t="s">
        <v>121</v>
      </c>
      <c r="S1" s="94"/>
      <c r="X1" s="94"/>
      <c r="AC1" s="94"/>
      <c r="AH1" s="94"/>
      <c r="AM1" s="94"/>
      <c r="AN1" s="94"/>
    </row>
    <row r="2" spans="1:41" x14ac:dyDescent="0.25">
      <c r="A2" s="5" t="s">
        <v>4</v>
      </c>
      <c r="R2" s="94"/>
    </row>
    <row r="3" spans="1:41" ht="21" customHeight="1" x14ac:dyDescent="0.25">
      <c r="B3" s="14" t="s">
        <v>61</v>
      </c>
      <c r="C3" s="14" t="s">
        <v>62</v>
      </c>
      <c r="D3" s="14" t="s">
        <v>63</v>
      </c>
      <c r="E3" s="14" t="s">
        <v>64</v>
      </c>
      <c r="F3" s="15" t="s">
        <v>65</v>
      </c>
      <c r="G3" s="14" t="s">
        <v>66</v>
      </c>
      <c r="H3" s="14" t="s">
        <v>67</v>
      </c>
      <c r="I3" s="14" t="s">
        <v>68</v>
      </c>
      <c r="J3" s="14" t="s">
        <v>69</v>
      </c>
      <c r="K3" s="15" t="s">
        <v>70</v>
      </c>
      <c r="L3" s="14" t="s">
        <v>71</v>
      </c>
      <c r="M3" s="14" t="s">
        <v>72</v>
      </c>
      <c r="N3" s="14" t="s">
        <v>73</v>
      </c>
      <c r="O3" s="14" t="s">
        <v>74</v>
      </c>
      <c r="P3" s="115" t="s">
        <v>75</v>
      </c>
      <c r="Q3" s="14" t="s">
        <v>76</v>
      </c>
      <c r="R3" s="14" t="s">
        <v>77</v>
      </c>
      <c r="S3" s="14" t="s">
        <v>78</v>
      </c>
      <c r="T3" s="14" t="s">
        <v>79</v>
      </c>
      <c r="U3" s="115" t="s">
        <v>80</v>
      </c>
      <c r="V3" s="14" t="s">
        <v>81</v>
      </c>
      <c r="W3" s="14" t="s">
        <v>82</v>
      </c>
      <c r="X3" s="14" t="s">
        <v>83</v>
      </c>
      <c r="Y3" s="14" t="s">
        <v>84</v>
      </c>
      <c r="Z3" s="115" t="s">
        <v>85</v>
      </c>
      <c r="AA3" s="14" t="s">
        <v>86</v>
      </c>
      <c r="AB3" s="14" t="s">
        <v>87</v>
      </c>
      <c r="AC3" s="14" t="s">
        <v>88</v>
      </c>
      <c r="AD3" s="14" t="s">
        <v>89</v>
      </c>
      <c r="AE3" s="115" t="s">
        <v>90</v>
      </c>
      <c r="AF3" s="14" t="s">
        <v>91</v>
      </c>
      <c r="AG3" s="14" t="s">
        <v>92</v>
      </c>
      <c r="AH3" s="14" t="s">
        <v>93</v>
      </c>
      <c r="AI3" s="14" t="s">
        <v>94</v>
      </c>
      <c r="AJ3" s="115" t="s">
        <v>95</v>
      </c>
      <c r="AK3" s="14" t="s">
        <v>96</v>
      </c>
      <c r="AL3" s="14" t="s">
        <v>97</v>
      </c>
      <c r="AM3" s="14" t="s">
        <v>98</v>
      </c>
      <c r="AN3" s="14" t="s">
        <v>99</v>
      </c>
      <c r="AO3" s="115" t="s">
        <v>100</v>
      </c>
    </row>
    <row r="4" spans="1:41" ht="15" customHeight="1" x14ac:dyDescent="0.25">
      <c r="A4" s="10" t="s">
        <v>122</v>
      </c>
      <c r="B4" s="59">
        <f>'P&amp;L'!B22</f>
        <v>13617</v>
      </c>
      <c r="C4" s="59">
        <f>'P&amp;L'!C22</f>
        <v>3929</v>
      </c>
      <c r="D4" s="59">
        <f>'P&amp;L'!D22</f>
        <v>5793</v>
      </c>
      <c r="E4" s="59">
        <f>'P&amp;L'!E22</f>
        <v>38938</v>
      </c>
      <c r="F4" s="8">
        <f>'P&amp;L'!F22</f>
        <v>62276</v>
      </c>
      <c r="G4" s="59">
        <f>'P&amp;L'!G22</f>
        <v>18527</v>
      </c>
      <c r="H4" s="59">
        <f>'P&amp;L'!H22</f>
        <v>13339</v>
      </c>
      <c r="I4" s="59">
        <f>'P&amp;L'!I22</f>
        <v>14724</v>
      </c>
      <c r="J4" s="59">
        <f>'P&amp;L'!J22</f>
        <v>40740</v>
      </c>
      <c r="K4" s="8">
        <f>'P&amp;L'!K22</f>
        <v>87329</v>
      </c>
      <c r="L4" s="59">
        <f>'P&amp;L'!L22</f>
        <v>14518</v>
      </c>
      <c r="M4" s="59">
        <f>'P&amp;L'!M22</f>
        <v>7505</v>
      </c>
      <c r="N4" s="59">
        <f>'P&amp;L'!N22</f>
        <v>22269</v>
      </c>
      <c r="O4" s="59">
        <f>'P&amp;L'!O22</f>
        <v>52368</v>
      </c>
      <c r="P4" s="116">
        <f>'P&amp;L'!P22</f>
        <v>96659</v>
      </c>
      <c r="Q4" s="59">
        <f>'P&amp;L'!Q22</f>
        <v>21090</v>
      </c>
      <c r="R4" s="59">
        <f>'P&amp;L'!R22</f>
        <v>14707</v>
      </c>
      <c r="S4" s="59">
        <f>'P&amp;L'!S22</f>
        <v>17948</v>
      </c>
      <c r="T4" s="59">
        <f>'P&amp;L'!T22</f>
        <v>42134</v>
      </c>
      <c r="U4" s="116">
        <f>'P&amp;L'!U22</f>
        <v>95879</v>
      </c>
      <c r="V4" s="59">
        <f>'P&amp;L'!V22</f>
        <v>21401</v>
      </c>
      <c r="W4" s="59">
        <f>'P&amp;L'!W22</f>
        <v>12537</v>
      </c>
      <c r="X4" s="59">
        <f>'P&amp;L'!X22</f>
        <v>20557</v>
      </c>
      <c r="Y4" s="59">
        <f>'P&amp;L'!Y22</f>
        <v>41474</v>
      </c>
      <c r="Z4" s="116">
        <f>'P&amp;L'!Z22</f>
        <v>95969</v>
      </c>
      <c r="AA4" s="59">
        <f>'P&amp;L'!AA22</f>
        <v>16428</v>
      </c>
      <c r="AB4" s="59">
        <f>'P&amp;L'!AB22</f>
        <v>6150</v>
      </c>
      <c r="AC4" s="59">
        <f>'P&amp;L'!AC22</f>
        <v>5293</v>
      </c>
      <c r="AD4" s="59">
        <f>'P&amp;L'!AD22</f>
        <v>46818</v>
      </c>
      <c r="AE4" s="116">
        <f>'P&amp;L'!AE22</f>
        <v>74689</v>
      </c>
      <c r="AF4" s="59">
        <f>'P&amp;L'!AF22</f>
        <v>23450</v>
      </c>
      <c r="AG4" s="59">
        <f>'P&amp;L'!AG22</f>
        <v>15029</v>
      </c>
      <c r="AH4" s="59">
        <f>'P&amp;L'!AH22</f>
        <v>24230</v>
      </c>
      <c r="AI4" s="59">
        <f>'P&amp;L'!AI22</f>
        <v>74938</v>
      </c>
      <c r="AJ4" s="116">
        <f>'P&amp;L'!AJ22</f>
        <v>137647</v>
      </c>
      <c r="AK4" s="59">
        <f>'P&amp;L'!AK22</f>
        <v>21278</v>
      </c>
      <c r="AL4" s="59">
        <f>'P&amp;L'!AL22</f>
        <v>-32973</v>
      </c>
      <c r="AM4" s="59">
        <f>'P&amp;L'!AM22</f>
        <v>6521</v>
      </c>
      <c r="AN4" s="59">
        <f>'P&amp;L'!AN22</f>
        <v>16049</v>
      </c>
      <c r="AO4" s="116">
        <f>'P&amp;L'!AO22</f>
        <v>10875</v>
      </c>
    </row>
    <row r="5" spans="1:41" ht="15" customHeight="1" x14ac:dyDescent="0.25">
      <c r="A5" s="5" t="s">
        <v>123</v>
      </c>
      <c r="B5" s="42">
        <f t="shared" ref="B5:Q5" si="0">SUM(B6:B12,B15,B16)</f>
        <v>18485</v>
      </c>
      <c r="C5" s="42">
        <f t="shared" si="0"/>
        <v>12134</v>
      </c>
      <c r="D5" s="42">
        <f t="shared" si="0"/>
        <v>18827</v>
      </c>
      <c r="E5" s="42">
        <f t="shared" si="0"/>
        <v>10196</v>
      </c>
      <c r="F5" s="54">
        <f t="shared" si="0"/>
        <v>59643</v>
      </c>
      <c r="G5" s="42">
        <f t="shared" si="0"/>
        <v>17520.430706248</v>
      </c>
      <c r="H5" s="42">
        <f t="shared" si="0"/>
        <v>16232</v>
      </c>
      <c r="I5" s="42">
        <f t="shared" si="0"/>
        <v>24331</v>
      </c>
      <c r="J5" s="42">
        <f t="shared" si="0"/>
        <v>37518</v>
      </c>
      <c r="K5" s="54">
        <f t="shared" si="0"/>
        <v>95600</v>
      </c>
      <c r="L5" s="42">
        <f t="shared" si="0"/>
        <v>29790</v>
      </c>
      <c r="M5" s="42">
        <f t="shared" si="0"/>
        <v>27126</v>
      </c>
      <c r="N5" s="42">
        <f t="shared" si="0"/>
        <v>51830</v>
      </c>
      <c r="O5" s="42">
        <f t="shared" si="0"/>
        <v>47147</v>
      </c>
      <c r="P5" s="110">
        <f t="shared" si="0"/>
        <v>155894</v>
      </c>
      <c r="Q5" s="42">
        <f t="shared" si="0"/>
        <v>39750</v>
      </c>
      <c r="R5" s="42">
        <f>SUM(R6:R12,R15,R16)</f>
        <v>35677</v>
      </c>
      <c r="S5" s="42">
        <f t="shared" ref="S5:W5" si="1">SUM(S6:S12,S15,S16)</f>
        <v>28379</v>
      </c>
      <c r="T5" s="42">
        <f t="shared" si="1"/>
        <v>50628</v>
      </c>
      <c r="U5" s="110">
        <f t="shared" si="1"/>
        <v>154436</v>
      </c>
      <c r="V5" s="42">
        <f t="shared" si="1"/>
        <v>24998</v>
      </c>
      <c r="W5" s="42">
        <f t="shared" si="1"/>
        <v>28961</v>
      </c>
      <c r="X5" s="42">
        <f t="shared" ref="X5:AB5" si="2">SUM(X6:X12,X15,X16)</f>
        <v>18776</v>
      </c>
      <c r="Y5" s="42">
        <f t="shared" si="2"/>
        <v>53546</v>
      </c>
      <c r="Z5" s="110">
        <f t="shared" si="2"/>
        <v>126281</v>
      </c>
      <c r="AA5" s="42">
        <f t="shared" si="2"/>
        <v>32828</v>
      </c>
      <c r="AB5" s="42">
        <f t="shared" si="2"/>
        <v>33083</v>
      </c>
      <c r="AC5" s="42">
        <f t="shared" ref="AC5:AG5" si="3">SUM(AC6:AC12,AC15,AC16)</f>
        <v>39831</v>
      </c>
      <c r="AD5" s="42">
        <f>SUM(AD6:AD12,AD15,AD16)</f>
        <v>48887</v>
      </c>
      <c r="AE5" s="110">
        <f t="shared" si="3"/>
        <v>154629</v>
      </c>
      <c r="AF5" s="42">
        <f t="shared" si="3"/>
        <v>30017</v>
      </c>
      <c r="AG5" s="42">
        <f t="shared" si="3"/>
        <v>35888</v>
      </c>
      <c r="AH5" s="42">
        <f>SUM(AH6:AH12,AH15,AH16)</f>
        <v>37668</v>
      </c>
      <c r="AI5" s="42">
        <f>SUM(AI6:AI12,AI15,AI16)</f>
        <v>21306</v>
      </c>
      <c r="AJ5" s="110">
        <f>SUM(AJ6:AJ12,AJ15,AJ16)</f>
        <v>124879</v>
      </c>
      <c r="AK5" s="42">
        <f t="shared" ref="AK5" si="4">SUM(AK6:AK12,AK15,AK16)</f>
        <v>34726</v>
      </c>
      <c r="AL5" s="42">
        <f>SUM(AL6:AL12,AL15,AL16)</f>
        <v>63501</v>
      </c>
      <c r="AM5" s="42">
        <f>SUM(AM6:AM12,AM15,AM16)</f>
        <v>23816</v>
      </c>
      <c r="AN5" s="42">
        <f>SUM(AN6:AN12,AN15,AN16)</f>
        <v>62986</v>
      </c>
      <c r="AO5" s="110">
        <f>SUM(AO6:AO12,AO15,AO16)</f>
        <v>185029</v>
      </c>
    </row>
    <row r="6" spans="1:41" ht="15" customHeight="1" x14ac:dyDescent="0.25">
      <c r="A6" s="5" t="s">
        <v>124</v>
      </c>
      <c r="B6" s="60">
        <v>8262</v>
      </c>
      <c r="C6" s="60">
        <v>10938</v>
      </c>
      <c r="D6" s="60">
        <v>13236</v>
      </c>
      <c r="E6" s="60">
        <v>14648</v>
      </c>
      <c r="F6" s="63">
        <v>47085</v>
      </c>
      <c r="G6" s="60">
        <v>13180</v>
      </c>
      <c r="H6" s="60">
        <f>16346-1</f>
        <v>16345</v>
      </c>
      <c r="I6" s="60">
        <v>16030</v>
      </c>
      <c r="J6" s="60">
        <v>17178</v>
      </c>
      <c r="K6" s="63">
        <v>62733</v>
      </c>
      <c r="L6" s="60">
        <v>22316</v>
      </c>
      <c r="M6" s="60">
        <v>24376</v>
      </c>
      <c r="N6" s="60">
        <v>25990</v>
      </c>
      <c r="O6" s="60">
        <v>31344</v>
      </c>
      <c r="P6" s="117">
        <v>104025</v>
      </c>
      <c r="Q6" s="60">
        <v>26050</v>
      </c>
      <c r="R6" s="60">
        <v>25099</v>
      </c>
      <c r="S6" s="60">
        <v>27891</v>
      </c>
      <c r="T6" s="60">
        <v>32785</v>
      </c>
      <c r="U6" s="117">
        <v>111825</v>
      </c>
      <c r="V6" s="60">
        <v>19644</v>
      </c>
      <c r="W6" s="60">
        <v>18282</v>
      </c>
      <c r="X6" s="60">
        <v>19455</v>
      </c>
      <c r="Y6" s="60">
        <v>39729</v>
      </c>
      <c r="Z6" s="117">
        <v>97110</v>
      </c>
      <c r="AA6" s="60">
        <v>27044</v>
      </c>
      <c r="AB6" s="60">
        <v>27907</v>
      </c>
      <c r="AC6" s="60">
        <v>24680</v>
      </c>
      <c r="AD6" s="60">
        <v>26960</v>
      </c>
      <c r="AE6" s="117">
        <v>106591</v>
      </c>
      <c r="AF6" s="60">
        <v>17225</v>
      </c>
      <c r="AG6" s="60">
        <v>25161</v>
      </c>
      <c r="AH6" s="60">
        <v>25533</v>
      </c>
      <c r="AI6" s="60">
        <v>23015</v>
      </c>
      <c r="AJ6" s="117">
        <v>90934</v>
      </c>
      <c r="AK6" s="60">
        <v>26611</v>
      </c>
      <c r="AL6" s="60">
        <v>87891</v>
      </c>
      <c r="AM6" s="60">
        <v>20148</v>
      </c>
      <c r="AN6" s="60">
        <v>15611</v>
      </c>
      <c r="AO6" s="185">
        <v>150261</v>
      </c>
    </row>
    <row r="7" spans="1:41" ht="15" customHeight="1" x14ac:dyDescent="0.25">
      <c r="A7" s="11" t="s">
        <v>125</v>
      </c>
      <c r="B7" s="39">
        <v>6318</v>
      </c>
      <c r="C7" s="39">
        <v>5325</v>
      </c>
      <c r="D7" s="39">
        <v>4600</v>
      </c>
      <c r="E7" s="39">
        <v>7748</v>
      </c>
      <c r="F7" s="50">
        <v>23989</v>
      </c>
      <c r="G7" s="39">
        <f>8369.430706248+1</f>
        <v>8370.4307062480002</v>
      </c>
      <c r="H7" s="39">
        <v>7695</v>
      </c>
      <c r="I7" s="39">
        <v>13965</v>
      </c>
      <c r="J7" s="39">
        <v>13229</v>
      </c>
      <c r="K7" s="50">
        <v>43259</v>
      </c>
      <c r="L7" s="39">
        <v>14940</v>
      </c>
      <c r="M7" s="39">
        <v>14918</v>
      </c>
      <c r="N7" s="39">
        <v>22028</v>
      </c>
      <c r="O7" s="39">
        <v>19725</v>
      </c>
      <c r="P7" s="106">
        <v>71612</v>
      </c>
      <c r="Q7" s="39">
        <v>18829</v>
      </c>
      <c r="R7" s="39">
        <v>20242</v>
      </c>
      <c r="S7" s="39">
        <v>17262</v>
      </c>
      <c r="T7" s="39">
        <v>10267</v>
      </c>
      <c r="U7" s="106">
        <v>66600</v>
      </c>
      <c r="V7" s="39">
        <v>13882</v>
      </c>
      <c r="W7" s="39">
        <v>11713</v>
      </c>
      <c r="X7" s="39">
        <v>11165</v>
      </c>
      <c r="Y7" s="39">
        <v>4239</v>
      </c>
      <c r="Z7" s="106">
        <v>40999</v>
      </c>
      <c r="AA7" s="39">
        <v>8502</v>
      </c>
      <c r="AB7" s="39">
        <v>7160</v>
      </c>
      <c r="AC7" s="39">
        <v>6803</v>
      </c>
      <c r="AD7" s="39">
        <v>6305</v>
      </c>
      <c r="AE7" s="106">
        <v>28770</v>
      </c>
      <c r="AF7" s="39">
        <v>7215</v>
      </c>
      <c r="AG7" s="39">
        <v>11670</v>
      </c>
      <c r="AH7" s="39">
        <v>13289</v>
      </c>
      <c r="AI7" s="39">
        <v>12354</v>
      </c>
      <c r="AJ7" s="106">
        <v>44528</v>
      </c>
      <c r="AK7" s="39">
        <v>9489</v>
      </c>
      <c r="AL7" s="39">
        <v>12021</v>
      </c>
      <c r="AM7" s="39">
        <v>21084</v>
      </c>
      <c r="AN7" s="39">
        <v>22440</v>
      </c>
      <c r="AO7" s="134">
        <v>65034</v>
      </c>
    </row>
    <row r="8" spans="1:41" ht="15" customHeight="1" x14ac:dyDescent="0.25">
      <c r="A8" s="11" t="s">
        <v>126</v>
      </c>
      <c r="B8" s="39">
        <v>3</v>
      </c>
      <c r="C8" s="39">
        <v>22</v>
      </c>
      <c r="D8" s="39">
        <v>59</v>
      </c>
      <c r="E8" s="39">
        <v>-2212</v>
      </c>
      <c r="F8" s="50">
        <v>-2127</v>
      </c>
      <c r="G8" s="39">
        <v>0</v>
      </c>
      <c r="H8" s="39">
        <v>0</v>
      </c>
      <c r="I8" s="39">
        <v>0</v>
      </c>
      <c r="J8" s="39">
        <v>-82</v>
      </c>
      <c r="K8" s="50">
        <v>-81</v>
      </c>
      <c r="L8" s="39">
        <v>0</v>
      </c>
      <c r="M8" s="39">
        <v>0</v>
      </c>
      <c r="N8" s="39">
        <v>0</v>
      </c>
      <c r="O8" s="39">
        <v>0</v>
      </c>
      <c r="P8" s="106">
        <v>0</v>
      </c>
      <c r="Q8" s="39">
        <v>0</v>
      </c>
      <c r="R8" s="39">
        <v>0</v>
      </c>
      <c r="S8" s="39">
        <v>0</v>
      </c>
      <c r="T8" s="39">
        <v>0</v>
      </c>
      <c r="U8" s="106">
        <v>0</v>
      </c>
      <c r="V8" s="39">
        <v>0</v>
      </c>
      <c r="W8" s="39">
        <v>0</v>
      </c>
      <c r="X8" s="39">
        <v>0</v>
      </c>
      <c r="Y8" s="39">
        <v>0</v>
      </c>
      <c r="Z8" s="106">
        <v>0</v>
      </c>
      <c r="AA8" s="39">
        <v>2266</v>
      </c>
      <c r="AB8" s="39">
        <v>-123</v>
      </c>
      <c r="AC8" s="39">
        <v>591</v>
      </c>
      <c r="AD8" s="39">
        <v>-20</v>
      </c>
      <c r="AE8" s="106">
        <v>2714</v>
      </c>
      <c r="AF8" s="39">
        <v>3945</v>
      </c>
      <c r="AG8" s="39">
        <v>14</v>
      </c>
      <c r="AH8" s="39">
        <v>735</v>
      </c>
      <c r="AI8" s="39">
        <v>-2729</v>
      </c>
      <c r="AJ8" s="106">
        <v>1965</v>
      </c>
      <c r="AK8" s="39">
        <v>9</v>
      </c>
      <c r="AL8" s="39">
        <v>-705</v>
      </c>
      <c r="AM8" s="39">
        <v>335</v>
      </c>
      <c r="AN8" s="39">
        <v>167</v>
      </c>
      <c r="AO8" s="134">
        <v>-194</v>
      </c>
    </row>
    <row r="9" spans="1:41" ht="15" customHeight="1" x14ac:dyDescent="0.25">
      <c r="A9" s="11" t="s">
        <v>127</v>
      </c>
      <c r="B9" s="39">
        <f>2+153</f>
        <v>155</v>
      </c>
      <c r="C9" s="39">
        <f>2+(-6)</f>
        <v>-4</v>
      </c>
      <c r="D9" s="39">
        <f>2+-(130)</f>
        <v>-128</v>
      </c>
      <c r="E9" s="39">
        <f>-3+5</f>
        <v>2</v>
      </c>
      <c r="F9" s="50">
        <f>6+22</f>
        <v>28</v>
      </c>
      <c r="G9" s="39">
        <f>2+10</f>
        <v>12</v>
      </c>
      <c r="H9" s="39">
        <f>1578+8</f>
        <v>1586</v>
      </c>
      <c r="I9" s="39">
        <v>-960</v>
      </c>
      <c r="J9" s="39">
        <f>-606+8</f>
        <v>-598</v>
      </c>
      <c r="K9" s="50">
        <v>39</v>
      </c>
      <c r="L9" s="39">
        <v>0</v>
      </c>
      <c r="M9" s="39">
        <v>0</v>
      </c>
      <c r="N9" s="39">
        <v>0</v>
      </c>
      <c r="O9" s="39">
        <v>0</v>
      </c>
      <c r="P9" s="106">
        <v>0</v>
      </c>
      <c r="Q9" s="39">
        <v>0</v>
      </c>
      <c r="R9" s="39">
        <v>0</v>
      </c>
      <c r="S9" s="39">
        <v>0</v>
      </c>
      <c r="T9" s="39">
        <v>0</v>
      </c>
      <c r="U9" s="106">
        <v>0</v>
      </c>
      <c r="V9" s="39">
        <v>0</v>
      </c>
      <c r="W9" s="39">
        <v>0</v>
      </c>
      <c r="X9" s="39">
        <v>0</v>
      </c>
      <c r="Y9" s="39">
        <v>0</v>
      </c>
      <c r="Z9" s="106">
        <v>0</v>
      </c>
      <c r="AA9" s="39">
        <v>0</v>
      </c>
      <c r="AB9" s="39">
        <v>0</v>
      </c>
      <c r="AC9" s="39">
        <v>0</v>
      </c>
      <c r="AD9" s="39">
        <v>0</v>
      </c>
      <c r="AE9" s="106">
        <v>3720</v>
      </c>
      <c r="AF9" s="39">
        <v>0</v>
      </c>
      <c r="AH9" s="39">
        <v>0</v>
      </c>
      <c r="AI9" s="39">
        <v>0</v>
      </c>
      <c r="AJ9" s="106">
        <v>0</v>
      </c>
      <c r="AK9" s="39">
        <v>0</v>
      </c>
      <c r="AL9" s="39">
        <v>0</v>
      </c>
      <c r="AM9" s="39">
        <v>-2244</v>
      </c>
      <c r="AN9" s="39">
        <v>1985</v>
      </c>
      <c r="AO9" s="134">
        <v>-259</v>
      </c>
    </row>
    <row r="10" spans="1:41" ht="15" customHeight="1" x14ac:dyDescent="0.25">
      <c r="A10" s="11" t="s">
        <v>128</v>
      </c>
      <c r="B10" s="39"/>
      <c r="C10" s="39"/>
      <c r="D10" s="39"/>
      <c r="E10" s="39"/>
      <c r="F10" s="50"/>
      <c r="G10" s="39"/>
      <c r="H10" s="39"/>
      <c r="I10" s="39"/>
      <c r="J10" s="39"/>
      <c r="K10" s="50"/>
      <c r="L10" s="39"/>
      <c r="M10" s="39"/>
      <c r="N10" s="39"/>
      <c r="O10" s="39"/>
      <c r="P10" s="106"/>
      <c r="Q10" s="39"/>
      <c r="R10" s="39"/>
      <c r="S10" s="39"/>
      <c r="T10" s="39"/>
      <c r="U10" s="106"/>
      <c r="V10" s="39"/>
      <c r="W10" s="39"/>
      <c r="X10" s="39"/>
      <c r="Y10" s="39"/>
      <c r="Z10" s="106"/>
      <c r="AA10" s="39"/>
      <c r="AB10" s="39"/>
      <c r="AC10" s="39"/>
      <c r="AD10" s="39"/>
      <c r="AE10" s="106"/>
      <c r="AF10" s="39"/>
      <c r="AH10" s="39"/>
      <c r="AI10" s="39">
        <v>0</v>
      </c>
      <c r="AJ10" s="106">
        <v>0</v>
      </c>
      <c r="AK10" s="39">
        <v>0</v>
      </c>
      <c r="AL10" s="39">
        <v>0</v>
      </c>
      <c r="AM10" s="39">
        <v>0</v>
      </c>
      <c r="AN10" s="39">
        <v>412</v>
      </c>
      <c r="AO10" s="134">
        <v>412</v>
      </c>
    </row>
    <row r="11" spans="1:41" ht="15" customHeight="1" x14ac:dyDescent="0.25">
      <c r="A11" s="11" t="s">
        <v>129</v>
      </c>
      <c r="B11" s="39"/>
      <c r="C11" s="39"/>
      <c r="D11" s="39"/>
      <c r="E11" s="39"/>
      <c r="F11" s="50"/>
      <c r="G11" s="39"/>
      <c r="H11" s="39"/>
      <c r="I11" s="39"/>
      <c r="J11" s="39"/>
      <c r="K11" s="50"/>
      <c r="L11" s="39"/>
      <c r="M11" s="39"/>
      <c r="N11" s="39"/>
      <c r="O11" s="39"/>
      <c r="P11" s="106"/>
      <c r="Q11" s="39"/>
      <c r="R11" s="39"/>
      <c r="S11" s="39"/>
      <c r="T11" s="39"/>
      <c r="U11" s="106"/>
      <c r="V11" s="39"/>
      <c r="W11" s="39"/>
      <c r="X11" s="39"/>
      <c r="Y11" s="39"/>
      <c r="Z11" s="106"/>
      <c r="AA11" s="39"/>
      <c r="AB11" s="39"/>
      <c r="AC11" s="39"/>
      <c r="AD11" s="39"/>
      <c r="AE11" s="106"/>
      <c r="AF11" s="39"/>
      <c r="AH11" s="39"/>
      <c r="AI11" s="39">
        <v>0</v>
      </c>
      <c r="AJ11" s="106">
        <v>0</v>
      </c>
      <c r="AK11" s="39">
        <v>0</v>
      </c>
      <c r="AL11" s="39">
        <v>0</v>
      </c>
      <c r="AM11" s="39">
        <v>0</v>
      </c>
      <c r="AN11" s="39">
        <v>771</v>
      </c>
      <c r="AO11" s="134">
        <v>771</v>
      </c>
    </row>
    <row r="12" spans="1:41" ht="15" customHeight="1" x14ac:dyDescent="0.25">
      <c r="A12" s="5" t="s">
        <v>130</v>
      </c>
      <c r="B12" s="39">
        <v>31</v>
      </c>
      <c r="C12" s="39">
        <v>-2200</v>
      </c>
      <c r="D12" s="39">
        <v>-979</v>
      </c>
      <c r="E12" s="39">
        <v>-12599</v>
      </c>
      <c r="F12" s="50">
        <v>-15748</v>
      </c>
      <c r="G12" s="39">
        <v>-1138</v>
      </c>
      <c r="H12" s="39">
        <f>-3286+1</f>
        <v>-3285</v>
      </c>
      <c r="I12" s="39">
        <v>-3121</v>
      </c>
      <c r="J12" s="39">
        <v>-2478</v>
      </c>
      <c r="K12" s="50">
        <v>-10024</v>
      </c>
      <c r="L12" s="39">
        <v>-6870</v>
      </c>
      <c r="M12" s="39">
        <v>-5536</v>
      </c>
      <c r="N12" s="39">
        <v>-8164</v>
      </c>
      <c r="O12" s="39">
        <v>7300</v>
      </c>
      <c r="P12" s="106">
        <v>-13269</v>
      </c>
      <c r="Q12" s="39">
        <v>-3146</v>
      </c>
      <c r="R12" s="39">
        <v>-4389</v>
      </c>
      <c r="S12" s="39">
        <v>-1806</v>
      </c>
      <c r="T12" s="39">
        <v>1184</v>
      </c>
      <c r="U12" s="106">
        <v>-8157</v>
      </c>
      <c r="V12" s="39">
        <v>-5916</v>
      </c>
      <c r="W12" s="39">
        <v>7252</v>
      </c>
      <c r="X12" s="39">
        <v>-2710</v>
      </c>
      <c r="Y12" s="39">
        <v>16792</v>
      </c>
      <c r="Z12" s="106">
        <v>15418</v>
      </c>
      <c r="AA12" s="39">
        <v>-2678</v>
      </c>
      <c r="AB12" s="39">
        <v>-4939</v>
      </c>
      <c r="AC12" s="39">
        <v>-80</v>
      </c>
      <c r="AD12" s="39">
        <v>11417</v>
      </c>
      <c r="AE12" s="106"/>
      <c r="AF12" s="39">
        <v>4998</v>
      </c>
      <c r="AG12" s="39">
        <v>-2693</v>
      </c>
      <c r="AH12" s="39">
        <v>2263</v>
      </c>
      <c r="AI12" s="39">
        <v>-23210</v>
      </c>
      <c r="AJ12" s="106">
        <v>-18642</v>
      </c>
      <c r="AK12" s="39">
        <v>2868</v>
      </c>
      <c r="AL12" s="39">
        <v>-9982</v>
      </c>
      <c r="AM12" s="39">
        <v>-8937</v>
      </c>
      <c r="AN12" s="39">
        <v>19653</v>
      </c>
      <c r="AO12" s="134">
        <v>3602</v>
      </c>
    </row>
    <row r="13" spans="1:41" ht="15" hidden="1" customHeight="1" outlineLevel="1" x14ac:dyDescent="0.25">
      <c r="A13" s="5" t="s">
        <v>131</v>
      </c>
      <c r="B13" s="39">
        <v>7113</v>
      </c>
      <c r="C13" s="39">
        <v>3565</v>
      </c>
      <c r="D13" s="39">
        <v>6367</v>
      </c>
      <c r="E13" s="39">
        <v>8177</v>
      </c>
      <c r="F13" s="50">
        <v>25221</v>
      </c>
      <c r="G13" s="39">
        <v>9082</v>
      </c>
      <c r="H13" s="39">
        <v>7780</v>
      </c>
      <c r="I13" s="39">
        <v>10695</v>
      </c>
      <c r="J13" s="39">
        <v>15639</v>
      </c>
      <c r="K13" s="50">
        <v>43196</v>
      </c>
      <c r="L13" s="39">
        <v>11071</v>
      </c>
      <c r="M13" s="39">
        <v>9201</v>
      </c>
      <c r="N13" s="39">
        <v>16022</v>
      </c>
      <c r="O13" s="39">
        <v>8628</v>
      </c>
      <c r="P13" s="106">
        <v>44921</v>
      </c>
      <c r="Q13" s="39">
        <v>15532</v>
      </c>
      <c r="R13" s="39">
        <v>13028</v>
      </c>
      <c r="S13" s="39">
        <v>8626</v>
      </c>
      <c r="T13" s="39">
        <v>17115</v>
      </c>
      <c r="U13" s="106">
        <v>54301</v>
      </c>
      <c r="V13" s="39">
        <v>15934</v>
      </c>
      <c r="W13" s="39"/>
      <c r="X13" s="39"/>
      <c r="Y13" s="39"/>
      <c r="Z13" s="106"/>
      <c r="AA13" s="39"/>
      <c r="AB13" s="39"/>
      <c r="AC13" s="39">
        <v>1153</v>
      </c>
      <c r="AD13" s="39"/>
      <c r="AE13" s="106"/>
      <c r="AF13" s="39"/>
      <c r="AG13" s="39"/>
      <c r="AH13" s="39"/>
      <c r="AI13" s="39"/>
      <c r="AJ13" s="106">
        <v>51</v>
      </c>
      <c r="AK13" s="39">
        <v>-432</v>
      </c>
      <c r="AL13" s="39">
        <v>-14246</v>
      </c>
      <c r="AM13" s="39">
        <v>1779</v>
      </c>
      <c r="AN13" s="39">
        <v>1947</v>
      </c>
      <c r="AO13" s="134">
        <v>-10952</v>
      </c>
    </row>
    <row r="14" spans="1:41" ht="15" hidden="1" customHeight="1" outlineLevel="1" x14ac:dyDescent="0.25">
      <c r="A14" s="5" t="s">
        <v>132</v>
      </c>
      <c r="B14" s="39">
        <v>-3397</v>
      </c>
      <c r="C14" s="39">
        <v>-5512</v>
      </c>
      <c r="D14" s="39">
        <v>-4328</v>
      </c>
      <c r="E14" s="39">
        <v>-5568</v>
      </c>
      <c r="F14" s="49">
        <f>SUM(B14:E14)</f>
        <v>-18805</v>
      </c>
      <c r="G14" s="39">
        <v>-11986</v>
      </c>
      <c r="H14" s="39">
        <v>-13889</v>
      </c>
      <c r="I14" s="39">
        <v>-12278</v>
      </c>
      <c r="J14" s="39">
        <v>-5370</v>
      </c>
      <c r="K14" s="49">
        <f>SUM(G14:J14)+1</f>
        <v>-43522</v>
      </c>
      <c r="L14" s="39">
        <v>-11683</v>
      </c>
      <c r="M14" s="39">
        <v>-15848</v>
      </c>
      <c r="N14" s="39">
        <v>-10165</v>
      </c>
      <c r="O14" s="39">
        <v>-18664</v>
      </c>
      <c r="P14" s="105">
        <f>SUM(L14:O14)</f>
        <v>-56360</v>
      </c>
      <c r="Q14" s="39">
        <v>-14216</v>
      </c>
      <c r="R14" s="39">
        <v>-18344</v>
      </c>
      <c r="S14" s="39">
        <v>-23614</v>
      </c>
      <c r="T14" s="39">
        <v>-10871</v>
      </c>
      <c r="U14" s="105">
        <f>SUM(Q14:T14)</f>
        <v>-67045</v>
      </c>
      <c r="V14" s="39">
        <v>-17868</v>
      </c>
      <c r="W14" s="39"/>
      <c r="X14" s="39"/>
      <c r="Y14" s="39"/>
      <c r="Z14" s="105"/>
      <c r="AA14" s="39"/>
      <c r="AB14" s="39"/>
      <c r="AC14" s="39"/>
      <c r="AD14" s="39"/>
      <c r="AE14" s="105"/>
      <c r="AF14" s="39"/>
      <c r="AG14" s="39"/>
      <c r="AH14" s="39"/>
      <c r="AI14" s="39"/>
      <c r="AJ14" s="105"/>
      <c r="AK14" s="39">
        <v>-3819</v>
      </c>
      <c r="AL14" s="39">
        <v>-11478</v>
      </c>
      <c r="AM14" s="39">
        <v>-8349</v>
      </c>
      <c r="AN14" s="39" t="s">
        <v>133</v>
      </c>
      <c r="AO14" s="148">
        <v>-23646</v>
      </c>
    </row>
    <row r="15" spans="1:41" ht="15" customHeight="1" collapsed="1" x14ac:dyDescent="0.25">
      <c r="A15" s="97" t="s">
        <v>134</v>
      </c>
      <c r="B15" s="38">
        <f t="shared" ref="B15:Q15" si="5">SUM(B13:B14)</f>
        <v>3716</v>
      </c>
      <c r="C15" s="38">
        <f t="shared" si="5"/>
        <v>-1947</v>
      </c>
      <c r="D15" s="38">
        <f t="shared" si="5"/>
        <v>2039</v>
      </c>
      <c r="E15" s="38">
        <f t="shared" si="5"/>
        <v>2609</v>
      </c>
      <c r="F15" s="49">
        <f t="shared" si="5"/>
        <v>6416</v>
      </c>
      <c r="G15" s="38">
        <f t="shared" si="5"/>
        <v>-2904</v>
      </c>
      <c r="H15" s="38">
        <f t="shared" si="5"/>
        <v>-6109</v>
      </c>
      <c r="I15" s="38">
        <f t="shared" si="5"/>
        <v>-1583</v>
      </c>
      <c r="J15" s="38">
        <f t="shared" si="5"/>
        <v>10269</v>
      </c>
      <c r="K15" s="49">
        <f t="shared" si="5"/>
        <v>-326</v>
      </c>
      <c r="L15" s="38">
        <f t="shared" si="5"/>
        <v>-612</v>
      </c>
      <c r="M15" s="38">
        <f t="shared" si="5"/>
        <v>-6647</v>
      </c>
      <c r="N15" s="38">
        <f t="shared" si="5"/>
        <v>5857</v>
      </c>
      <c r="O15" s="38">
        <f t="shared" si="5"/>
        <v>-10036</v>
      </c>
      <c r="P15" s="105">
        <f t="shared" si="5"/>
        <v>-11439</v>
      </c>
      <c r="Q15" s="38">
        <f t="shared" si="5"/>
        <v>1316</v>
      </c>
      <c r="R15" s="38">
        <f>SUM(R13:R14)</f>
        <v>-5316</v>
      </c>
      <c r="S15" s="38">
        <f t="shared" ref="S15" si="6">SUM(S13:S14)</f>
        <v>-14988</v>
      </c>
      <c r="T15" s="38">
        <f t="shared" ref="T15" si="7">SUM(T13:T14)</f>
        <v>6244</v>
      </c>
      <c r="U15" s="105">
        <f t="shared" ref="U15" si="8">SUM(U13:U14)</f>
        <v>-12744</v>
      </c>
      <c r="V15" s="38">
        <f t="shared" ref="V15" si="9">SUM(V13:V14)</f>
        <v>-1934</v>
      </c>
      <c r="W15" s="39">
        <v>-8696</v>
      </c>
      <c r="X15" s="39">
        <v>-9309</v>
      </c>
      <c r="Y15" s="39">
        <v>-8076</v>
      </c>
      <c r="Z15" s="106">
        <v>-28015</v>
      </c>
      <c r="AA15" s="39">
        <v>-2329</v>
      </c>
      <c r="AB15" s="39">
        <v>3056</v>
      </c>
      <c r="AC15" s="39">
        <v>6684</v>
      </c>
      <c r="AD15" s="39">
        <v>3456</v>
      </c>
      <c r="AE15" s="106">
        <v>10867</v>
      </c>
      <c r="AF15" s="39">
        <v>-3379</v>
      </c>
      <c r="AG15" s="39">
        <v>1724</v>
      </c>
      <c r="AH15" s="39">
        <v>-4165</v>
      </c>
      <c r="AI15" s="39">
        <v>11863</v>
      </c>
      <c r="AJ15" s="106">
        <v>6043</v>
      </c>
      <c r="AK15" s="39">
        <v>-432</v>
      </c>
      <c r="AL15" s="39">
        <v>-14246</v>
      </c>
      <c r="AM15" s="39">
        <v>1779</v>
      </c>
      <c r="AN15" s="39">
        <v>1947</v>
      </c>
      <c r="AO15" s="134">
        <v>-10952</v>
      </c>
    </row>
    <row r="16" spans="1:41" ht="15" customHeight="1" collapsed="1" x14ac:dyDescent="0.25">
      <c r="A16" s="97" t="s">
        <v>135</v>
      </c>
      <c r="B16" s="38">
        <v>0</v>
      </c>
      <c r="C16" s="38">
        <v>0</v>
      </c>
      <c r="D16" s="38">
        <v>0</v>
      </c>
      <c r="E16" s="38">
        <v>0</v>
      </c>
      <c r="F16" s="49"/>
      <c r="G16" s="38">
        <v>0</v>
      </c>
      <c r="H16" s="38">
        <v>0</v>
      </c>
      <c r="I16" s="38">
        <v>0</v>
      </c>
      <c r="J16" s="38">
        <v>0</v>
      </c>
      <c r="K16" s="49">
        <v>0</v>
      </c>
      <c r="L16" s="38">
        <v>16</v>
      </c>
      <c r="M16" s="38">
        <v>15</v>
      </c>
      <c r="N16" s="38">
        <v>6119</v>
      </c>
      <c r="O16" s="38">
        <v>-1186</v>
      </c>
      <c r="P16" s="105">
        <v>4965</v>
      </c>
      <c r="Q16" s="38">
        <v>-3299</v>
      </c>
      <c r="R16" s="38">
        <v>41</v>
      </c>
      <c r="S16" s="38">
        <v>20</v>
      </c>
      <c r="T16" s="38">
        <v>148</v>
      </c>
      <c r="U16" s="105">
        <v>-3088</v>
      </c>
      <c r="V16" s="38">
        <v>-678</v>
      </c>
      <c r="W16" s="39">
        <v>410</v>
      </c>
      <c r="X16" s="39">
        <v>175</v>
      </c>
      <c r="Y16" s="39">
        <v>862</v>
      </c>
      <c r="Z16" s="106">
        <v>769</v>
      </c>
      <c r="AA16" s="39">
        <v>23</v>
      </c>
      <c r="AB16" s="39">
        <v>22</v>
      </c>
      <c r="AC16" s="39">
        <v>1153</v>
      </c>
      <c r="AD16" s="39">
        <v>769</v>
      </c>
      <c r="AE16" s="106">
        <v>1967</v>
      </c>
      <c r="AF16" s="39">
        <v>13</v>
      </c>
      <c r="AG16" s="39">
        <v>12</v>
      </c>
      <c r="AH16" s="39">
        <v>13</v>
      </c>
      <c r="AI16" s="39">
        <v>13</v>
      </c>
      <c r="AJ16" s="106">
        <v>51</v>
      </c>
      <c r="AK16" s="39">
        <v>-3819</v>
      </c>
      <c r="AL16" s="39">
        <v>-11478</v>
      </c>
      <c r="AM16" s="39">
        <v>-8349</v>
      </c>
      <c r="AN16" s="39">
        <v>0</v>
      </c>
      <c r="AO16" s="134">
        <v>-23646</v>
      </c>
    </row>
    <row r="17" spans="1:41" ht="15" customHeight="1" x14ac:dyDescent="0.25">
      <c r="A17" s="10" t="s">
        <v>136</v>
      </c>
      <c r="B17" s="42">
        <f t="shared" ref="B17:Z17" si="10">SUM(B18:B23)</f>
        <v>8905</v>
      </c>
      <c r="C17" s="42">
        <f t="shared" si="10"/>
        <v>-4125</v>
      </c>
      <c r="D17" s="42">
        <f t="shared" si="10"/>
        <v>-7120</v>
      </c>
      <c r="E17" s="42">
        <f t="shared" si="10"/>
        <v>17572</v>
      </c>
      <c r="F17" s="54">
        <f t="shared" si="10"/>
        <v>15231</v>
      </c>
      <c r="G17" s="42">
        <f t="shared" si="10"/>
        <v>-17140</v>
      </c>
      <c r="H17" s="42">
        <f t="shared" si="10"/>
        <v>-10297</v>
      </c>
      <c r="I17" s="42">
        <f t="shared" si="10"/>
        <v>4576</v>
      </c>
      <c r="J17" s="42">
        <f t="shared" si="10"/>
        <v>-6600</v>
      </c>
      <c r="K17" s="54">
        <f t="shared" si="10"/>
        <v>-29460</v>
      </c>
      <c r="L17" s="42">
        <f t="shared" si="10"/>
        <v>-70</v>
      </c>
      <c r="M17" s="42">
        <f t="shared" si="10"/>
        <v>25860</v>
      </c>
      <c r="N17" s="42">
        <f t="shared" si="10"/>
        <v>-12372</v>
      </c>
      <c r="O17" s="42">
        <f t="shared" si="10"/>
        <v>-20513</v>
      </c>
      <c r="P17" s="110">
        <f t="shared" si="10"/>
        <v>-7095</v>
      </c>
      <c r="Q17" s="42">
        <f t="shared" si="10"/>
        <v>23687</v>
      </c>
      <c r="R17" s="42">
        <f t="shared" si="10"/>
        <v>-10043</v>
      </c>
      <c r="S17" s="42">
        <f t="shared" si="10"/>
        <v>3929</v>
      </c>
      <c r="T17" s="42">
        <f t="shared" si="10"/>
        <v>-7162</v>
      </c>
      <c r="U17" s="110">
        <f t="shared" si="10"/>
        <v>10411</v>
      </c>
      <c r="V17" s="42">
        <f t="shared" si="10"/>
        <v>20821</v>
      </c>
      <c r="W17" s="42">
        <f>SUM(W18:W23)</f>
        <v>11466</v>
      </c>
      <c r="X17" s="42">
        <f t="shared" si="10"/>
        <v>3956</v>
      </c>
      <c r="Y17" s="42">
        <f t="shared" si="10"/>
        <v>-35661</v>
      </c>
      <c r="Z17" s="110">
        <f t="shared" si="10"/>
        <v>582</v>
      </c>
      <c r="AA17" s="42">
        <f t="shared" ref="AA17" si="11">SUM(AA18:AA23)</f>
        <v>7487</v>
      </c>
      <c r="AB17" s="42">
        <f>SUM(AB18:AB23)</f>
        <v>-5856</v>
      </c>
      <c r="AC17" s="42">
        <f t="shared" ref="AC17:AF17" si="12">SUM(AC18:AC23)</f>
        <v>6032</v>
      </c>
      <c r="AD17" s="42">
        <f t="shared" si="12"/>
        <v>-51625</v>
      </c>
      <c r="AE17" s="110">
        <f t="shared" si="12"/>
        <v>-43962</v>
      </c>
      <c r="AF17" s="42">
        <f t="shared" si="12"/>
        <v>23895</v>
      </c>
      <c r="AG17" s="42">
        <f>SUM(AG18:AG23)</f>
        <v>-24557</v>
      </c>
      <c r="AH17" s="42">
        <f t="shared" ref="AH17:AK17" si="13">SUM(AH18:AH23)</f>
        <v>-10719</v>
      </c>
      <c r="AI17" s="42">
        <f t="shared" si="13"/>
        <v>-30232</v>
      </c>
      <c r="AJ17" s="110">
        <f t="shared" si="13"/>
        <v>-41613</v>
      </c>
      <c r="AK17" s="42">
        <f t="shared" si="13"/>
        <v>18926</v>
      </c>
      <c r="AL17" s="42">
        <f>SUM(AL18:AL23)</f>
        <v>-16556</v>
      </c>
      <c r="AM17" s="42">
        <f t="shared" ref="AM17:AO17" si="14">SUM(AM18:AM23)</f>
        <v>11291</v>
      </c>
      <c r="AN17" s="42">
        <f>SUM(AN18:AN23)</f>
        <v>46420</v>
      </c>
      <c r="AO17" s="186">
        <f t="shared" si="14"/>
        <v>60081</v>
      </c>
    </row>
    <row r="18" spans="1:41" ht="15" customHeight="1" x14ac:dyDescent="0.25">
      <c r="A18" s="5" t="s">
        <v>137</v>
      </c>
      <c r="B18" s="60">
        <v>-9421</v>
      </c>
      <c r="C18" s="39">
        <v>-3218</v>
      </c>
      <c r="D18" s="60">
        <v>-14795</v>
      </c>
      <c r="E18" s="60">
        <v>-55986</v>
      </c>
      <c r="F18" s="63">
        <v>-83420</v>
      </c>
      <c r="G18" s="60">
        <v>4758</v>
      </c>
      <c r="H18" s="60">
        <v>-7126</v>
      </c>
      <c r="I18" s="60">
        <v>-2160</v>
      </c>
      <c r="J18" s="60">
        <v>-113442</v>
      </c>
      <c r="K18" s="63">
        <v>-117970</v>
      </c>
      <c r="L18" s="60">
        <v>59569</v>
      </c>
      <c r="M18" s="60">
        <v>-23358</v>
      </c>
      <c r="N18" s="60">
        <v>-991</v>
      </c>
      <c r="O18" s="60">
        <v>-112127</v>
      </c>
      <c r="P18" s="117">
        <v>-76907</v>
      </c>
      <c r="Q18" s="60">
        <v>91292</v>
      </c>
      <c r="R18" s="60">
        <v>10154</v>
      </c>
      <c r="S18" s="60">
        <v>12931</v>
      </c>
      <c r="T18" s="60">
        <v>-113019</v>
      </c>
      <c r="U18" s="117">
        <v>1358</v>
      </c>
      <c r="V18" s="60">
        <v>86018</v>
      </c>
      <c r="W18" s="60">
        <v>19325</v>
      </c>
      <c r="X18" s="60">
        <v>14821</v>
      </c>
      <c r="Y18" s="60">
        <v>-119288</v>
      </c>
      <c r="Z18" s="117">
        <v>876</v>
      </c>
      <c r="AA18" s="60">
        <v>99388</v>
      </c>
      <c r="AB18" s="60">
        <v>27318</v>
      </c>
      <c r="AC18" s="60">
        <v>-4177</v>
      </c>
      <c r="AD18" s="60">
        <v>-126486</v>
      </c>
      <c r="AE18" s="117">
        <v>-3957</v>
      </c>
      <c r="AF18" s="60">
        <v>47226</v>
      </c>
      <c r="AG18" s="60">
        <v>-21031</v>
      </c>
      <c r="AH18" s="60">
        <v>-9541</v>
      </c>
      <c r="AI18" s="60">
        <v>-151604</v>
      </c>
      <c r="AJ18" s="117">
        <v>-134950</v>
      </c>
      <c r="AK18" s="60">
        <v>92738</v>
      </c>
      <c r="AL18" s="60">
        <v>-27262</v>
      </c>
      <c r="AM18" s="60">
        <v>9923</v>
      </c>
      <c r="AN18" s="60">
        <v>-117309</v>
      </c>
      <c r="AO18" s="185">
        <v>-41910</v>
      </c>
    </row>
    <row r="19" spans="1:41" ht="15" customHeight="1" x14ac:dyDescent="0.25">
      <c r="A19" s="5" t="s">
        <v>138</v>
      </c>
      <c r="B19" s="39">
        <v>23937</v>
      </c>
      <c r="C19" s="39">
        <v>3682</v>
      </c>
      <c r="D19" s="39">
        <v>11899</v>
      </c>
      <c r="E19" s="39">
        <v>60529</v>
      </c>
      <c r="F19" s="50">
        <v>100047</v>
      </c>
      <c r="G19" s="39">
        <v>-13906</v>
      </c>
      <c r="H19" s="39">
        <v>-1244</v>
      </c>
      <c r="I19" s="39">
        <v>11218</v>
      </c>
      <c r="J19" s="39">
        <v>85793</v>
      </c>
      <c r="K19" s="50">
        <v>81862</v>
      </c>
      <c r="L19" s="39">
        <v>-75030</v>
      </c>
      <c r="M19" s="39">
        <v>48776</v>
      </c>
      <c r="N19" s="39">
        <v>-5031</v>
      </c>
      <c r="O19" s="39">
        <v>64199</v>
      </c>
      <c r="P19" s="106">
        <v>32915</v>
      </c>
      <c r="Q19" s="39">
        <v>-62945</v>
      </c>
      <c r="R19" s="39">
        <v>-26745</v>
      </c>
      <c r="S19" s="39">
        <v>13091</v>
      </c>
      <c r="T19" s="39">
        <v>85646</v>
      </c>
      <c r="U19" s="106">
        <v>9047</v>
      </c>
      <c r="V19" s="39">
        <v>-58485</v>
      </c>
      <c r="W19" s="39">
        <v>-14995</v>
      </c>
      <c r="X19" s="39">
        <v>-4415</v>
      </c>
      <c r="Y19" s="39">
        <v>63750</v>
      </c>
      <c r="Z19" s="106">
        <v>-14145</v>
      </c>
      <c r="AA19" s="39">
        <v>-81679</v>
      </c>
      <c r="AB19" s="39">
        <v>-22118</v>
      </c>
      <c r="AC19" s="39">
        <v>8494</v>
      </c>
      <c r="AD19" s="39">
        <v>61989</v>
      </c>
      <c r="AE19" s="106">
        <v>-33314</v>
      </c>
      <c r="AF19" s="39">
        <v>-10640</v>
      </c>
      <c r="AG19" s="39">
        <v>-9266</v>
      </c>
      <c r="AH19" s="39">
        <v>14213</v>
      </c>
      <c r="AI19" s="39">
        <v>88384</v>
      </c>
      <c r="AJ19" s="106">
        <v>82691</v>
      </c>
      <c r="AK19" s="39">
        <v>-49672</v>
      </c>
      <c r="AL19" s="39">
        <v>32695</v>
      </c>
      <c r="AM19" s="39">
        <v>-2549</v>
      </c>
      <c r="AN19" s="39">
        <v>153318</v>
      </c>
      <c r="AO19" s="134">
        <v>133792</v>
      </c>
    </row>
    <row r="20" spans="1:41" ht="15" customHeight="1" x14ac:dyDescent="0.25">
      <c r="A20" s="5" t="s">
        <v>139</v>
      </c>
      <c r="B20" s="39">
        <v>-10639</v>
      </c>
      <c r="C20" s="39">
        <v>-5243</v>
      </c>
      <c r="D20" s="39">
        <v>-8781</v>
      </c>
      <c r="E20" s="39">
        <v>563</v>
      </c>
      <c r="F20" s="50">
        <v>-24101</v>
      </c>
      <c r="G20" s="39">
        <v>-10368</v>
      </c>
      <c r="H20" s="39">
        <v>-5969</v>
      </c>
      <c r="I20" s="39">
        <v>-2856</v>
      </c>
      <c r="J20" s="39">
        <v>-9799</v>
      </c>
      <c r="K20" s="50">
        <v>-28432</v>
      </c>
      <c r="L20" s="39">
        <v>8253</v>
      </c>
      <c r="M20" s="39">
        <v>-3493</v>
      </c>
      <c r="N20" s="39">
        <v>4001</v>
      </c>
      <c r="O20" s="39">
        <v>-9962</v>
      </c>
      <c r="P20" s="106">
        <v>-3381</v>
      </c>
      <c r="Q20" s="39">
        <f>2672+5286</f>
        <v>7958</v>
      </c>
      <c r="R20" s="39">
        <v>5821</v>
      </c>
      <c r="S20" s="39">
        <v>-8229</v>
      </c>
      <c r="T20" s="39">
        <v>-1576</v>
      </c>
      <c r="U20" s="106">
        <v>3974</v>
      </c>
      <c r="V20" s="39">
        <v>-5992</v>
      </c>
      <c r="W20" s="39">
        <v>7504</v>
      </c>
      <c r="X20" s="39">
        <v>638</v>
      </c>
      <c r="Y20" s="39">
        <v>5481</v>
      </c>
      <c r="Z20" s="106">
        <v>7631</v>
      </c>
      <c r="AA20" s="39">
        <v>-10398</v>
      </c>
      <c r="AB20" s="39">
        <v>15448</v>
      </c>
      <c r="AC20" s="39">
        <v>-2762</v>
      </c>
      <c r="AD20" s="39">
        <v>-9476</v>
      </c>
      <c r="AE20" s="106">
        <v>-7188</v>
      </c>
      <c r="AF20" s="39">
        <v>-5050</v>
      </c>
      <c r="AG20" s="39">
        <v>-137</v>
      </c>
      <c r="AH20" s="39">
        <v>-7523</v>
      </c>
      <c r="AI20" s="39">
        <f>-6660-372</f>
        <v>-7032</v>
      </c>
      <c r="AJ20" s="106">
        <f>-19370-372</f>
        <v>-19742</v>
      </c>
      <c r="AK20" s="39">
        <v>-18947</v>
      </c>
      <c r="AL20" s="39">
        <v>4352</v>
      </c>
      <c r="AM20" s="39">
        <f>-8265-364</f>
        <v>-8629</v>
      </c>
      <c r="AN20" s="39">
        <v>8537</v>
      </c>
      <c r="AO20" s="134">
        <v>-14687</v>
      </c>
    </row>
    <row r="21" spans="1:41" ht="15" customHeight="1" x14ac:dyDescent="0.25">
      <c r="A21" s="93" t="s">
        <v>140</v>
      </c>
      <c r="B21" s="39">
        <v>5028</v>
      </c>
      <c r="C21" s="39">
        <v>654</v>
      </c>
      <c r="D21" s="39">
        <v>4557</v>
      </c>
      <c r="E21" s="39">
        <v>12466</v>
      </c>
      <c r="F21" s="50">
        <v>22705</v>
      </c>
      <c r="G21" s="39">
        <v>2376</v>
      </c>
      <c r="H21" s="39">
        <v>4042</v>
      </c>
      <c r="I21" s="39">
        <v>-1626</v>
      </c>
      <c r="J21" s="39">
        <v>30848</v>
      </c>
      <c r="K21" s="50">
        <v>35080</v>
      </c>
      <c r="L21" s="39">
        <v>7138</v>
      </c>
      <c r="M21" s="39">
        <f>3935</f>
        <v>3935</v>
      </c>
      <c r="N21" s="39">
        <f>-10353+2</f>
        <v>-10351</v>
      </c>
      <c r="O21" s="39">
        <v>37377</v>
      </c>
      <c r="P21" s="106">
        <v>40278</v>
      </c>
      <c r="Q21" s="39">
        <f>-8395-4223</f>
        <v>-12618</v>
      </c>
      <c r="R21" s="39">
        <v>727</v>
      </c>
      <c r="S21" s="39">
        <v>-13864</v>
      </c>
      <c r="T21" s="39">
        <v>21787</v>
      </c>
      <c r="U21" s="106">
        <v>-3968</v>
      </c>
      <c r="V21" s="39">
        <v>2436</v>
      </c>
      <c r="W21" s="39">
        <v>3015</v>
      </c>
      <c r="X21" s="39">
        <v>-10177</v>
      </c>
      <c r="Y21" s="39">
        <v>16116</v>
      </c>
      <c r="Z21" s="106">
        <v>11390</v>
      </c>
      <c r="AA21" s="39">
        <v>-945</v>
      </c>
      <c r="AB21" s="39">
        <v>-25503</v>
      </c>
      <c r="AC21" s="39">
        <v>6303</v>
      </c>
      <c r="AD21" s="39">
        <v>26406</v>
      </c>
      <c r="AE21" s="106">
        <v>6261</v>
      </c>
      <c r="AF21" s="39">
        <v>-4527</v>
      </c>
      <c r="AG21" s="39">
        <v>3458</v>
      </c>
      <c r="AH21" s="39">
        <v>-4705</v>
      </c>
      <c r="AI21" s="39">
        <f>38328+479</f>
        <v>38807</v>
      </c>
      <c r="AJ21" s="106">
        <f>33616-583</f>
        <v>33033</v>
      </c>
      <c r="AK21" s="39">
        <v>-3182</v>
      </c>
      <c r="AL21" s="39">
        <v>-28131</v>
      </c>
      <c r="AM21" s="39">
        <v>11135</v>
      </c>
      <c r="AN21" s="39">
        <v>2316</v>
      </c>
      <c r="AO21" s="134">
        <v>-17862</v>
      </c>
    </row>
    <row r="22" spans="1:41" ht="15" hidden="1" customHeight="1" outlineLevel="1" x14ac:dyDescent="0.25">
      <c r="A22" s="93" t="s">
        <v>141</v>
      </c>
      <c r="B22" s="39"/>
      <c r="C22" s="39"/>
      <c r="D22" s="39"/>
      <c r="E22" s="39"/>
      <c r="F22" s="50"/>
      <c r="G22" s="39"/>
      <c r="H22" s="39"/>
      <c r="I22" s="39"/>
      <c r="J22" s="39"/>
      <c r="K22" s="50"/>
      <c r="L22" s="39"/>
      <c r="M22" s="39"/>
      <c r="N22" s="39"/>
      <c r="O22" s="39"/>
      <c r="P22" s="106"/>
      <c r="Q22" s="39"/>
      <c r="R22" s="39"/>
      <c r="S22" s="39"/>
      <c r="T22" s="39"/>
      <c r="U22" s="106"/>
      <c r="V22" s="39"/>
      <c r="W22" s="39"/>
      <c r="X22" s="39"/>
      <c r="Y22" s="39"/>
      <c r="Z22" s="106"/>
      <c r="AA22" s="39"/>
      <c r="AB22" s="39"/>
      <c r="AC22" s="39"/>
      <c r="AD22" s="39"/>
      <c r="AE22" s="106"/>
      <c r="AF22" s="39"/>
      <c r="AG22" s="39"/>
      <c r="AH22" s="39"/>
      <c r="AI22" s="158"/>
      <c r="AJ22" s="106"/>
      <c r="AK22" s="158"/>
      <c r="AL22" s="39"/>
      <c r="AM22" s="39"/>
      <c r="AN22" s="39"/>
      <c r="AO22" s="134"/>
    </row>
    <row r="23" spans="1:41" ht="15" customHeight="1" collapsed="1" x14ac:dyDescent="0.25">
      <c r="A23" s="93" t="s">
        <v>142</v>
      </c>
      <c r="B23" s="41"/>
      <c r="C23" s="41"/>
      <c r="D23" s="41"/>
      <c r="E23" s="41"/>
      <c r="F23" s="53"/>
      <c r="G23" s="41"/>
      <c r="H23" s="41"/>
      <c r="I23" s="41"/>
      <c r="J23" s="41"/>
      <c r="K23" s="53"/>
      <c r="L23" s="41"/>
      <c r="M23" s="41"/>
      <c r="N23" s="41"/>
      <c r="O23" s="41"/>
      <c r="P23" s="109"/>
      <c r="Q23" s="41"/>
      <c r="R23" s="41"/>
      <c r="S23" s="41"/>
      <c r="T23" s="41"/>
      <c r="U23" s="109"/>
      <c r="V23" s="41">
        <v>-3156</v>
      </c>
      <c r="W23" s="41">
        <v>-3383</v>
      </c>
      <c r="X23" s="41">
        <v>3089</v>
      </c>
      <c r="Y23" s="41">
        <v>-1720</v>
      </c>
      <c r="Z23" s="109">
        <v>-5170</v>
      </c>
      <c r="AA23" s="41">
        <v>1121</v>
      </c>
      <c r="AB23" s="41">
        <v>-1001</v>
      </c>
      <c r="AC23" s="41">
        <v>-1826</v>
      </c>
      <c r="AD23" s="41">
        <v>-4058</v>
      </c>
      <c r="AE23" s="109">
        <v>-5764</v>
      </c>
      <c r="AF23" s="41">
        <v>-3114</v>
      </c>
      <c r="AG23" s="41">
        <v>2419</v>
      </c>
      <c r="AH23" s="41">
        <v>-3163</v>
      </c>
      <c r="AI23" s="41">
        <v>1213</v>
      </c>
      <c r="AJ23" s="109">
        <v>-2645</v>
      </c>
      <c r="AK23" s="41">
        <v>-2011</v>
      </c>
      <c r="AL23" s="41">
        <v>1790</v>
      </c>
      <c r="AM23" s="41">
        <v>1411</v>
      </c>
      <c r="AN23" s="41">
        <v>-442</v>
      </c>
      <c r="AO23" s="135">
        <v>748</v>
      </c>
    </row>
    <row r="24" spans="1:41" ht="15" customHeight="1" x14ac:dyDescent="0.25">
      <c r="A24" s="10" t="s">
        <v>143</v>
      </c>
      <c r="B24" s="61">
        <f t="shared" ref="B24:Z24" si="15">SUM(B4,B5,B17)</f>
        <v>41007</v>
      </c>
      <c r="C24" s="61">
        <f t="shared" si="15"/>
        <v>11938</v>
      </c>
      <c r="D24" s="61">
        <f t="shared" si="15"/>
        <v>17500</v>
      </c>
      <c r="E24" s="61">
        <f t="shared" si="15"/>
        <v>66706</v>
      </c>
      <c r="F24" s="64">
        <f t="shared" si="15"/>
        <v>137150</v>
      </c>
      <c r="G24" s="61">
        <f t="shared" si="15"/>
        <v>18907.430706248</v>
      </c>
      <c r="H24" s="42">
        <f t="shared" si="15"/>
        <v>19274</v>
      </c>
      <c r="I24" s="42">
        <f t="shared" si="15"/>
        <v>43631</v>
      </c>
      <c r="J24" s="42">
        <f t="shared" si="15"/>
        <v>71658</v>
      </c>
      <c r="K24" s="54">
        <f t="shared" si="15"/>
        <v>153469</v>
      </c>
      <c r="L24" s="42">
        <f t="shared" si="15"/>
        <v>44238</v>
      </c>
      <c r="M24" s="42">
        <f t="shared" si="15"/>
        <v>60491</v>
      </c>
      <c r="N24" s="42">
        <f t="shared" si="15"/>
        <v>61727</v>
      </c>
      <c r="O24" s="42">
        <f t="shared" si="15"/>
        <v>79002</v>
      </c>
      <c r="P24" s="110">
        <f t="shared" si="15"/>
        <v>245458</v>
      </c>
      <c r="Q24" s="42">
        <f t="shared" si="15"/>
        <v>84527</v>
      </c>
      <c r="R24" s="42">
        <f t="shared" si="15"/>
        <v>40341</v>
      </c>
      <c r="S24" s="42">
        <f t="shared" si="15"/>
        <v>50256</v>
      </c>
      <c r="T24" s="42">
        <f t="shared" si="15"/>
        <v>85600</v>
      </c>
      <c r="U24" s="110">
        <f t="shared" si="15"/>
        <v>260726</v>
      </c>
      <c r="V24" s="42">
        <f t="shared" si="15"/>
        <v>67220</v>
      </c>
      <c r="W24" s="42">
        <f>SUM(W4,W5,W17)</f>
        <v>52964</v>
      </c>
      <c r="X24" s="42">
        <f t="shared" si="15"/>
        <v>43289</v>
      </c>
      <c r="Y24" s="42">
        <f t="shared" si="15"/>
        <v>59359</v>
      </c>
      <c r="Z24" s="110">
        <f t="shared" si="15"/>
        <v>222832</v>
      </c>
      <c r="AA24" s="42">
        <f t="shared" ref="AA24" si="16">SUM(AA4,AA5,AA17)</f>
        <v>56743</v>
      </c>
      <c r="AB24" s="42">
        <f>SUM(AB4,AB5,AB17)</f>
        <v>33377</v>
      </c>
      <c r="AC24" s="42">
        <f t="shared" ref="AC24:AF24" si="17">SUM(AC4,AC5,AC17)</f>
        <v>51156</v>
      </c>
      <c r="AD24" s="42">
        <f t="shared" si="17"/>
        <v>44080</v>
      </c>
      <c r="AE24" s="110">
        <f t="shared" si="17"/>
        <v>185356</v>
      </c>
      <c r="AF24" s="42">
        <f t="shared" si="17"/>
        <v>77362</v>
      </c>
      <c r="AG24" s="42">
        <f t="shared" ref="AG24:AK24" si="18">SUM(AG4,AG5,AG17)</f>
        <v>26360</v>
      </c>
      <c r="AH24" s="42">
        <f t="shared" si="18"/>
        <v>51179</v>
      </c>
      <c r="AI24" s="42">
        <f t="shared" si="18"/>
        <v>66012</v>
      </c>
      <c r="AJ24" s="110">
        <f t="shared" si="18"/>
        <v>220913</v>
      </c>
      <c r="AK24" s="42">
        <f t="shared" si="18"/>
        <v>74930</v>
      </c>
      <c r="AL24" s="42">
        <f>SUM(AL4,AL5,AL17)</f>
        <v>13972</v>
      </c>
      <c r="AM24" s="42">
        <f>SUM(AM4,AM5,AM17)</f>
        <v>41628</v>
      </c>
      <c r="AN24" s="42">
        <f>SUM(AN4,AN5,AN17)</f>
        <v>125455</v>
      </c>
      <c r="AO24" s="110">
        <f t="shared" ref="AO24" si="19">SUM(AO4,AO5,AO17)</f>
        <v>255985</v>
      </c>
    </row>
    <row r="25" spans="1:41" ht="15" customHeight="1" x14ac:dyDescent="0.25">
      <c r="A25" s="5" t="s">
        <v>144</v>
      </c>
      <c r="B25" s="60">
        <v>-11528</v>
      </c>
      <c r="C25" s="60">
        <v>-29630</v>
      </c>
      <c r="D25" s="60">
        <v>-21514</v>
      </c>
      <c r="E25" s="60">
        <v>-12936</v>
      </c>
      <c r="F25" s="63">
        <v>-75607</v>
      </c>
      <c r="G25" s="60">
        <v>-13615</v>
      </c>
      <c r="H25" s="60">
        <v>-25564</v>
      </c>
      <c r="I25" s="60">
        <v>-15792</v>
      </c>
      <c r="J25" s="60">
        <v>-30163</v>
      </c>
      <c r="K25" s="63">
        <v>-85133</v>
      </c>
      <c r="L25" s="60">
        <v>-23267</v>
      </c>
      <c r="M25" s="60">
        <v>-30008</v>
      </c>
      <c r="N25" s="60">
        <v>-20999</v>
      </c>
      <c r="O25" s="60">
        <v>-47928</v>
      </c>
      <c r="P25" s="117">
        <v>-122203</v>
      </c>
      <c r="Q25" s="60">
        <v>-7413</v>
      </c>
      <c r="R25" s="60">
        <v>-18880</v>
      </c>
      <c r="S25" s="60">
        <v>-60627</v>
      </c>
      <c r="T25" s="60">
        <v>-30064</v>
      </c>
      <c r="U25" s="118">
        <f>SUM(Q25:T25)</f>
        <v>-116984</v>
      </c>
      <c r="V25" s="60">
        <v>-13292</v>
      </c>
      <c r="W25" s="60">
        <v>-28812</v>
      </c>
      <c r="X25" s="60">
        <v>-27239</v>
      </c>
      <c r="Y25" s="60">
        <v>-13373</v>
      </c>
      <c r="Z25" s="118">
        <f>SUM(V25:Y25)</f>
        <v>-82716</v>
      </c>
      <c r="AA25" s="60">
        <v>-11258</v>
      </c>
      <c r="AB25" s="60">
        <v>-29471</v>
      </c>
      <c r="AC25" s="60">
        <v>-16308</v>
      </c>
      <c r="AD25" s="60">
        <v>-10250</v>
      </c>
      <c r="AE25" s="118">
        <f>SUM(AA25:AD25)</f>
        <v>-67287</v>
      </c>
      <c r="AF25" s="60">
        <v>-11953</v>
      </c>
      <c r="AG25" s="60">
        <v>-15663</v>
      </c>
      <c r="AH25" s="60">
        <v>-16767</v>
      </c>
      <c r="AI25" s="60">
        <v>-10600</v>
      </c>
      <c r="AJ25" s="118">
        <f>SUM(AF25:AI25)</f>
        <v>-54983</v>
      </c>
      <c r="AK25" s="60">
        <v>-10857</v>
      </c>
      <c r="AL25" s="60">
        <v>-21937</v>
      </c>
      <c r="AM25" s="60">
        <v>-16161</v>
      </c>
      <c r="AN25" s="60">
        <v>-35841</v>
      </c>
      <c r="AO25" s="118">
        <f>SUM(AK25:AN25)</f>
        <v>-84796</v>
      </c>
    </row>
    <row r="26" spans="1:41" ht="15" customHeight="1" x14ac:dyDescent="0.25">
      <c r="A26" s="5" t="s">
        <v>145</v>
      </c>
      <c r="B26" s="39">
        <v>-1334</v>
      </c>
      <c r="C26" s="39">
        <v>11282</v>
      </c>
      <c r="D26" s="39">
        <v>-2551</v>
      </c>
      <c r="E26" s="39">
        <v>-6269</v>
      </c>
      <c r="F26" s="50">
        <v>1128</v>
      </c>
      <c r="G26" s="39">
        <v>1507</v>
      </c>
      <c r="H26" s="39">
        <v>3178</v>
      </c>
      <c r="I26" s="39">
        <v>-4115</v>
      </c>
      <c r="J26" s="39">
        <v>7182</v>
      </c>
      <c r="K26" s="50">
        <v>7752</v>
      </c>
      <c r="L26" s="39">
        <v>-4939</v>
      </c>
      <c r="M26" s="39">
        <v>2953</v>
      </c>
      <c r="N26" s="39">
        <v>-6774</v>
      </c>
      <c r="O26" s="39">
        <v>22452</v>
      </c>
      <c r="P26" s="106">
        <v>13692</v>
      </c>
      <c r="Q26" s="39">
        <v>-25154</v>
      </c>
      <c r="R26" s="39">
        <v>1033</v>
      </c>
      <c r="S26" s="39">
        <v>30971</v>
      </c>
      <c r="T26" s="39">
        <v>-15344</v>
      </c>
      <c r="U26" s="105">
        <f>SUM(Q26:T26)</f>
        <v>-8494</v>
      </c>
      <c r="V26" s="39">
        <v>-10392</v>
      </c>
      <c r="W26" s="39">
        <v>-3980</v>
      </c>
      <c r="X26" s="39">
        <v>3295</v>
      </c>
      <c r="Y26" s="39">
        <v>-4147</v>
      </c>
      <c r="Z26" s="105">
        <f>SUM(V26:Y26)</f>
        <v>-15224</v>
      </c>
      <c r="AA26" s="39">
        <v>-479</v>
      </c>
      <c r="AB26" s="39">
        <v>10939</v>
      </c>
      <c r="AC26" s="39">
        <v>3410</v>
      </c>
      <c r="AD26" s="39">
        <v>-12052</v>
      </c>
      <c r="AE26" s="105">
        <f>SUM(AA26:AD26)</f>
        <v>1818</v>
      </c>
      <c r="AF26" s="39">
        <v>-1827</v>
      </c>
      <c r="AG26" s="39">
        <v>2535</v>
      </c>
      <c r="AH26" s="39">
        <v>810</v>
      </c>
      <c r="AI26" s="39">
        <v>455</v>
      </c>
      <c r="AJ26" s="105">
        <f>SUM(AF26:AI26)</f>
        <v>1973</v>
      </c>
      <c r="AK26" s="39">
        <v>5293</v>
      </c>
      <c r="AL26" s="39">
        <v>6485</v>
      </c>
      <c r="AM26" s="39">
        <v>-4146</v>
      </c>
      <c r="AN26" s="39">
        <v>21319</v>
      </c>
      <c r="AO26" s="105">
        <f>SUM(AK26:AN26)</f>
        <v>28951</v>
      </c>
    </row>
    <row r="27" spans="1:41" ht="15" hidden="1" customHeight="1" x14ac:dyDescent="0.25">
      <c r="A27" s="5" t="s">
        <v>146</v>
      </c>
      <c r="B27" s="39"/>
      <c r="C27" s="39"/>
      <c r="D27" s="39"/>
      <c r="E27" s="39"/>
      <c r="F27" s="50"/>
      <c r="G27" s="39"/>
      <c r="H27" s="39"/>
      <c r="I27" s="39"/>
      <c r="J27" s="39"/>
      <c r="K27" s="50"/>
      <c r="L27" s="39"/>
      <c r="M27" s="39"/>
      <c r="N27" s="39"/>
      <c r="O27" s="39"/>
      <c r="P27" s="106"/>
      <c r="Q27" s="39"/>
      <c r="R27" s="39"/>
      <c r="S27" s="39"/>
      <c r="T27" s="39"/>
      <c r="U27" s="105"/>
      <c r="V27" s="39"/>
      <c r="W27" s="39"/>
      <c r="X27" s="39"/>
      <c r="Y27" s="39"/>
      <c r="Z27" s="105"/>
      <c r="AA27" s="39"/>
      <c r="AB27" s="39"/>
      <c r="AC27" s="39"/>
      <c r="AD27" s="39"/>
      <c r="AE27" s="105"/>
      <c r="AF27" s="39"/>
      <c r="AG27" s="39"/>
      <c r="AH27" s="39"/>
      <c r="AI27" s="39"/>
      <c r="AJ27" s="105"/>
      <c r="AK27" s="39"/>
      <c r="AL27" s="39"/>
      <c r="AM27" s="39"/>
      <c r="AN27" s="39"/>
      <c r="AO27" s="105"/>
    </row>
    <row r="28" spans="1:41" ht="15" customHeight="1" x14ac:dyDescent="0.25">
      <c r="A28" s="12" t="s">
        <v>147</v>
      </c>
      <c r="B28" s="39">
        <v>-17209</v>
      </c>
      <c r="C28" s="39">
        <v>-2867</v>
      </c>
      <c r="D28" s="39">
        <v>-476</v>
      </c>
      <c r="E28" s="39">
        <v>10</v>
      </c>
      <c r="F28" s="50">
        <v>-20542</v>
      </c>
      <c r="G28" s="39">
        <v>0</v>
      </c>
      <c r="H28" s="39">
        <v>-5074</v>
      </c>
      <c r="I28" s="39">
        <v>0</v>
      </c>
      <c r="J28" s="39">
        <v>-230467</v>
      </c>
      <c r="K28" s="50">
        <v>-235541</v>
      </c>
      <c r="L28" s="39">
        <v>0</v>
      </c>
      <c r="M28" s="39">
        <v>1089</v>
      </c>
      <c r="N28" s="39">
        <v>73</v>
      </c>
      <c r="O28" s="39">
        <v>-15</v>
      </c>
      <c r="P28" s="106">
        <v>1110</v>
      </c>
      <c r="Q28" s="39">
        <v>-10811</v>
      </c>
      <c r="R28" s="39">
        <v>0</v>
      </c>
      <c r="S28" s="39">
        <v>-38100</v>
      </c>
      <c r="T28" s="39">
        <v>-52269</v>
      </c>
      <c r="U28" s="105">
        <f>SUM(Q28:T28)</f>
        <v>-101180</v>
      </c>
      <c r="V28" s="39">
        <v>-5325</v>
      </c>
      <c r="W28" s="39">
        <v>637</v>
      </c>
      <c r="X28" s="39">
        <v>106</v>
      </c>
      <c r="Y28" s="39">
        <v>0</v>
      </c>
      <c r="Z28" s="105">
        <f>SUM(V28:Y28)</f>
        <v>-4582</v>
      </c>
      <c r="AA28" s="39">
        <v>0</v>
      </c>
      <c r="AB28" s="39">
        <v>0</v>
      </c>
      <c r="AC28" s="39">
        <v>-3</v>
      </c>
      <c r="AD28" s="39">
        <v>-1173</v>
      </c>
      <c r="AE28" s="105">
        <f>SUM(AA28:AD28)</f>
        <v>-1176</v>
      </c>
      <c r="AF28" s="39">
        <v>0</v>
      </c>
      <c r="AG28" s="39">
        <v>-9598</v>
      </c>
      <c r="AH28" s="39">
        <v>71</v>
      </c>
      <c r="AI28" s="39">
        <v>-892</v>
      </c>
      <c r="AJ28" s="105">
        <f>SUM(AF28:AI28)</f>
        <v>-10419</v>
      </c>
      <c r="AK28" s="39">
        <v>0</v>
      </c>
      <c r="AL28" s="39">
        <v>0</v>
      </c>
      <c r="AM28" s="39">
        <f>-48964-86489</f>
        <v>-135453</v>
      </c>
      <c r="AN28" s="39">
        <v>-2574</v>
      </c>
      <c r="AO28" s="105">
        <f>SUM(AK28:AN28)</f>
        <v>-138027</v>
      </c>
    </row>
    <row r="29" spans="1:41" ht="15" customHeight="1" x14ac:dyDescent="0.25">
      <c r="A29" s="12" t="s">
        <v>148</v>
      </c>
      <c r="B29" s="41">
        <v>-3751</v>
      </c>
      <c r="C29" s="41">
        <v>-1492</v>
      </c>
      <c r="D29" s="41">
        <v>-1049</v>
      </c>
      <c r="E29" s="41">
        <v>-320</v>
      </c>
      <c r="F29" s="53">
        <v>-6612</v>
      </c>
      <c r="G29" s="41">
        <v>781</v>
      </c>
      <c r="H29" s="41">
        <v>-207</v>
      </c>
      <c r="I29" s="41">
        <v>-377</v>
      </c>
      <c r="J29" s="41">
        <v>-38</v>
      </c>
      <c r="K29" s="53">
        <v>159</v>
      </c>
      <c r="L29" s="41">
        <v>-431</v>
      </c>
      <c r="M29" s="41">
        <v>1668</v>
      </c>
      <c r="N29" s="41">
        <v>-157</v>
      </c>
      <c r="O29" s="41">
        <v>31</v>
      </c>
      <c r="P29" s="109">
        <v>1148</v>
      </c>
      <c r="Q29" s="41">
        <v>-112</v>
      </c>
      <c r="R29" s="41">
        <v>154</v>
      </c>
      <c r="S29" s="41">
        <v>-45</v>
      </c>
      <c r="T29" s="41">
        <v>-56</v>
      </c>
      <c r="U29" s="119">
        <f>SUM(Q29:T29)</f>
        <v>-59</v>
      </c>
      <c r="V29" s="41">
        <v>-32</v>
      </c>
      <c r="W29" s="41">
        <v>-1152</v>
      </c>
      <c r="X29" s="41">
        <v>-165</v>
      </c>
      <c r="Y29" s="41">
        <v>-17</v>
      </c>
      <c r="Z29" s="119">
        <f>SUM(V29:Y29)</f>
        <v>-1366</v>
      </c>
      <c r="AA29" s="41">
        <v>889</v>
      </c>
      <c r="AB29" s="41">
        <v>-21238</v>
      </c>
      <c r="AC29" s="41">
        <v>-280</v>
      </c>
      <c r="AD29" s="41">
        <v>-13819</v>
      </c>
      <c r="AE29" s="105">
        <f>SUM(AA29:AD29)</f>
        <v>-34448</v>
      </c>
      <c r="AF29" s="41">
        <v>-3252</v>
      </c>
      <c r="AG29" s="41">
        <v>-17056</v>
      </c>
      <c r="AH29" s="41">
        <v>6505</v>
      </c>
      <c r="AI29" s="41">
        <v>865</v>
      </c>
      <c r="AJ29" s="105">
        <f>SUM(AF29:AI29)</f>
        <v>-12938</v>
      </c>
      <c r="AK29" s="41">
        <v>22489</v>
      </c>
      <c r="AL29" s="41">
        <v>21822</v>
      </c>
      <c r="AM29" s="41">
        <v>-1259</v>
      </c>
      <c r="AN29" s="41">
        <v>-15299</v>
      </c>
      <c r="AO29" s="105">
        <f>SUM(AK29:AN29)</f>
        <v>27753</v>
      </c>
    </row>
    <row r="30" spans="1:41" ht="15" customHeight="1" x14ac:dyDescent="0.25">
      <c r="A30" s="10" t="s">
        <v>149</v>
      </c>
      <c r="B30" s="42">
        <f t="shared" ref="B30:Y30" si="20">SUM(B25:B29)</f>
        <v>-33822</v>
      </c>
      <c r="C30" s="42">
        <f t="shared" si="20"/>
        <v>-22707</v>
      </c>
      <c r="D30" s="42">
        <f t="shared" si="20"/>
        <v>-25590</v>
      </c>
      <c r="E30" s="42">
        <f t="shared" si="20"/>
        <v>-19515</v>
      </c>
      <c r="F30" s="54">
        <f t="shared" si="20"/>
        <v>-101633</v>
      </c>
      <c r="G30" s="42">
        <f t="shared" si="20"/>
        <v>-11327</v>
      </c>
      <c r="H30" s="42">
        <f t="shared" si="20"/>
        <v>-27667</v>
      </c>
      <c r="I30" s="42">
        <f t="shared" si="20"/>
        <v>-20284</v>
      </c>
      <c r="J30" s="42">
        <f t="shared" si="20"/>
        <v>-253486</v>
      </c>
      <c r="K30" s="54">
        <f t="shared" si="20"/>
        <v>-312763</v>
      </c>
      <c r="L30" s="42">
        <f t="shared" si="20"/>
        <v>-28637</v>
      </c>
      <c r="M30" s="42">
        <f t="shared" si="20"/>
        <v>-24298</v>
      </c>
      <c r="N30" s="42">
        <f t="shared" si="20"/>
        <v>-27857</v>
      </c>
      <c r="O30" s="42">
        <f t="shared" si="20"/>
        <v>-25460</v>
      </c>
      <c r="P30" s="110">
        <f t="shared" si="20"/>
        <v>-106253</v>
      </c>
      <c r="Q30" s="42">
        <f t="shared" si="20"/>
        <v>-43490</v>
      </c>
      <c r="R30" s="42">
        <f t="shared" si="20"/>
        <v>-17693</v>
      </c>
      <c r="S30" s="42">
        <f t="shared" si="20"/>
        <v>-67801</v>
      </c>
      <c r="T30" s="42">
        <f t="shared" si="20"/>
        <v>-97733</v>
      </c>
      <c r="U30" s="110">
        <f t="shared" si="20"/>
        <v>-226717</v>
      </c>
      <c r="V30" s="42">
        <f t="shared" si="20"/>
        <v>-29041</v>
      </c>
      <c r="W30" s="42">
        <f t="shared" si="20"/>
        <v>-33307</v>
      </c>
      <c r="X30" s="42">
        <f t="shared" si="20"/>
        <v>-24003</v>
      </c>
      <c r="Y30" s="42">
        <f t="shared" si="20"/>
        <v>-17537</v>
      </c>
      <c r="Z30" s="110">
        <f t="shared" ref="Z30:AD30" si="21">SUM(Z25:Z29)</f>
        <v>-103888</v>
      </c>
      <c r="AA30" s="42">
        <f t="shared" si="21"/>
        <v>-10848</v>
      </c>
      <c r="AB30" s="42">
        <f t="shared" si="21"/>
        <v>-39770</v>
      </c>
      <c r="AC30" s="42">
        <f t="shared" si="21"/>
        <v>-13181</v>
      </c>
      <c r="AD30" s="42">
        <f t="shared" si="21"/>
        <v>-37294</v>
      </c>
      <c r="AE30" s="110">
        <f>SUM(AE25:AE29)</f>
        <v>-101093</v>
      </c>
      <c r="AF30" s="42">
        <f t="shared" ref="AF30:AI30" si="22">SUM(AF25:AF29)</f>
        <v>-17032</v>
      </c>
      <c r="AG30" s="42">
        <f t="shared" si="22"/>
        <v>-39782</v>
      </c>
      <c r="AH30" s="42">
        <f t="shared" si="22"/>
        <v>-9381</v>
      </c>
      <c r="AI30" s="42">
        <f t="shared" si="22"/>
        <v>-10172</v>
      </c>
      <c r="AJ30" s="110">
        <f>SUM(AJ25:AJ29)</f>
        <v>-76367</v>
      </c>
      <c r="AK30" s="42">
        <f t="shared" ref="AK30:AN30" si="23">SUM(AK25:AK29)</f>
        <v>16925</v>
      </c>
      <c r="AL30" s="42">
        <f t="shared" si="23"/>
        <v>6370</v>
      </c>
      <c r="AM30" s="42">
        <f t="shared" si="23"/>
        <v>-157019</v>
      </c>
      <c r="AN30" s="42">
        <f t="shared" si="23"/>
        <v>-32395</v>
      </c>
      <c r="AO30" s="110">
        <f>SUM(AO25:AO29)</f>
        <v>-166119</v>
      </c>
    </row>
    <row r="31" spans="1:41" ht="15" customHeight="1" x14ac:dyDescent="0.25">
      <c r="A31" s="5" t="s">
        <v>150</v>
      </c>
      <c r="B31" s="39">
        <v>827</v>
      </c>
      <c r="C31" s="39">
        <v>1567</v>
      </c>
      <c r="D31" s="39">
        <v>790</v>
      </c>
      <c r="E31" s="39">
        <v>788</v>
      </c>
      <c r="F31" s="50">
        <v>4023</v>
      </c>
      <c r="G31" s="39">
        <v>764</v>
      </c>
      <c r="H31" s="39">
        <v>2295</v>
      </c>
      <c r="I31" s="39">
        <v>739</v>
      </c>
      <c r="J31" s="39">
        <v>80224</v>
      </c>
      <c r="K31" s="50">
        <v>84022</v>
      </c>
      <c r="L31" s="39">
        <v>0</v>
      </c>
      <c r="M31" s="39">
        <v>1454</v>
      </c>
      <c r="N31" s="39">
        <v>2220</v>
      </c>
      <c r="O31" s="39">
        <v>26</v>
      </c>
      <c r="P31" s="106">
        <v>3700</v>
      </c>
      <c r="Q31" s="39">
        <v>0</v>
      </c>
      <c r="R31" s="39">
        <v>0</v>
      </c>
      <c r="S31" s="39">
        <v>0</v>
      </c>
      <c r="T31" s="39">
        <v>0</v>
      </c>
      <c r="U31" s="106">
        <f>SUM(Q31:T31)</f>
        <v>0</v>
      </c>
      <c r="V31" s="39">
        <v>0</v>
      </c>
      <c r="W31" s="39">
        <v>0</v>
      </c>
      <c r="X31" s="39">
        <v>0</v>
      </c>
      <c r="Y31" s="39">
        <v>0</v>
      </c>
      <c r="Z31" s="106">
        <f>SUM(V31:Y31)</f>
        <v>0</v>
      </c>
      <c r="AA31" s="39">
        <v>0</v>
      </c>
      <c r="AB31" s="39">
        <v>154310</v>
      </c>
      <c r="AC31" s="39">
        <v>3193</v>
      </c>
      <c r="AD31" s="39">
        <v>-4315</v>
      </c>
      <c r="AE31" s="105">
        <f>SUM(AA31:AD31)</f>
        <v>153188</v>
      </c>
      <c r="AF31" s="39">
        <v>0</v>
      </c>
      <c r="AG31" s="39">
        <v>0</v>
      </c>
      <c r="AH31" s="153" t="s">
        <v>151</v>
      </c>
      <c r="AI31" s="153" t="s">
        <v>151</v>
      </c>
      <c r="AJ31" s="105">
        <f>SUM(AF31:AI31)</f>
        <v>0</v>
      </c>
      <c r="AK31" s="153">
        <v>78513</v>
      </c>
      <c r="AL31" s="39">
        <v>0</v>
      </c>
      <c r="AM31" s="153">
        <v>0</v>
      </c>
      <c r="AN31" s="153">
        <v>0</v>
      </c>
      <c r="AO31" s="105">
        <f>SUM(AK31:AN31)</f>
        <v>78513</v>
      </c>
    </row>
    <row r="32" spans="1:41" ht="15" customHeight="1" x14ac:dyDescent="0.25">
      <c r="A32" s="5" t="s">
        <v>152</v>
      </c>
      <c r="B32" s="39">
        <v>-3277</v>
      </c>
      <c r="C32" s="39">
        <v>-1369</v>
      </c>
      <c r="D32" s="39">
        <v>-1484</v>
      </c>
      <c r="E32" s="39">
        <v>-2797</v>
      </c>
      <c r="F32" s="50">
        <v>-8980</v>
      </c>
      <c r="G32" s="39">
        <f>-1505.360435+2</f>
        <v>-1503.3604350000001</v>
      </c>
      <c r="H32" s="39">
        <v>-3944</v>
      </c>
      <c r="I32" s="39">
        <v>32</v>
      </c>
      <c r="J32" s="39">
        <v>-7889</v>
      </c>
      <c r="K32" s="50">
        <v>-13305</v>
      </c>
      <c r="L32" s="39">
        <v>-2053</v>
      </c>
      <c r="M32" s="39">
        <v>-77168</v>
      </c>
      <c r="N32" s="39">
        <v>-4672</v>
      </c>
      <c r="O32" s="39">
        <v>-5838</v>
      </c>
      <c r="P32" s="106">
        <v>-89731</v>
      </c>
      <c r="Q32" s="39">
        <v>-238</v>
      </c>
      <c r="R32" s="39">
        <v>-235</v>
      </c>
      <c r="S32" s="39">
        <v>-248</v>
      </c>
      <c r="T32" s="39">
        <v>-243</v>
      </c>
      <c r="U32" s="105">
        <f t="shared" ref="U32:U35" si="24">SUM(Q32:T32)</f>
        <v>-964</v>
      </c>
      <c r="V32" s="39">
        <v>-172</v>
      </c>
      <c r="W32" s="39">
        <v>-167</v>
      </c>
      <c r="X32" s="39">
        <v>-167</v>
      </c>
      <c r="Y32" s="39">
        <v>-516</v>
      </c>
      <c r="Z32" s="105">
        <f t="shared" ref="Z32:Z35" si="25">SUM(V32:Y32)</f>
        <v>-1022</v>
      </c>
      <c r="AA32" s="39">
        <v>-170</v>
      </c>
      <c r="AB32" s="39">
        <v>1</v>
      </c>
      <c r="AC32" s="39">
        <v>-12</v>
      </c>
      <c r="AD32" s="39">
        <v>-167163</v>
      </c>
      <c r="AE32" s="105">
        <f t="shared" ref="AE32:AE35" si="26">SUM(AA32:AD32)</f>
        <v>-167344</v>
      </c>
      <c r="AF32" s="39">
        <v>-182</v>
      </c>
      <c r="AG32" s="39">
        <v>-1090</v>
      </c>
      <c r="AH32" s="39">
        <v>10</v>
      </c>
      <c r="AI32" s="39">
        <v>13</v>
      </c>
      <c r="AJ32" s="105">
        <f t="shared" ref="AJ32:AJ33" si="27">SUM(AF32:AI32)</f>
        <v>-1249</v>
      </c>
      <c r="AK32" s="39">
        <v>-78513</v>
      </c>
      <c r="AL32" s="39">
        <v>0</v>
      </c>
      <c r="AM32" s="39">
        <v>0</v>
      </c>
      <c r="AN32" s="39">
        <v>0</v>
      </c>
      <c r="AO32" s="105">
        <f t="shared" ref="AO32:AO33" si="28">SUM(AK32:AN32)</f>
        <v>-78513</v>
      </c>
    </row>
    <row r="33" spans="1:41" ht="15" customHeight="1" x14ac:dyDescent="0.25">
      <c r="A33" s="5" t="s">
        <v>153</v>
      </c>
      <c r="B33" s="39">
        <v>2771</v>
      </c>
      <c r="C33" s="39">
        <v>3664</v>
      </c>
      <c r="D33" s="39">
        <v>3575</v>
      </c>
      <c r="E33" s="39">
        <v>3758</v>
      </c>
      <c r="F33" s="50">
        <v>13768</v>
      </c>
      <c r="G33" s="39">
        <v>5476</v>
      </c>
      <c r="H33" s="39">
        <v>10106</v>
      </c>
      <c r="I33" s="39">
        <v>1600</v>
      </c>
      <c r="J33" s="39">
        <v>2893</v>
      </c>
      <c r="K33" s="50">
        <v>20075</v>
      </c>
      <c r="L33" s="39">
        <v>12937</v>
      </c>
      <c r="M33" s="39">
        <v>11517</v>
      </c>
      <c r="N33" s="39">
        <v>5164</v>
      </c>
      <c r="O33" s="39">
        <v>2342</v>
      </c>
      <c r="P33" s="106">
        <v>31961</v>
      </c>
      <c r="Q33" s="39">
        <v>166</v>
      </c>
      <c r="R33" s="39">
        <v>396</v>
      </c>
      <c r="S33" s="39">
        <v>212</v>
      </c>
      <c r="T33" s="39">
        <v>699</v>
      </c>
      <c r="U33" s="105">
        <f t="shared" si="24"/>
        <v>1473</v>
      </c>
      <c r="V33" s="39">
        <v>11</v>
      </c>
      <c r="W33" s="39">
        <v>-98</v>
      </c>
      <c r="X33" s="39">
        <v>725</v>
      </c>
      <c r="Y33" s="39">
        <v>1053</v>
      </c>
      <c r="Z33" s="105">
        <f t="shared" si="25"/>
        <v>1691</v>
      </c>
      <c r="AA33" s="39">
        <v>4</v>
      </c>
      <c r="AB33" s="39">
        <v>-20</v>
      </c>
      <c r="AC33" s="39">
        <v>117</v>
      </c>
      <c r="AD33" s="39">
        <v>1626</v>
      </c>
      <c r="AE33" s="105">
        <f t="shared" si="26"/>
        <v>1727</v>
      </c>
      <c r="AF33" s="39">
        <v>2074</v>
      </c>
      <c r="AG33" s="39">
        <v>7501</v>
      </c>
      <c r="AH33" s="39">
        <v>12113</v>
      </c>
      <c r="AI33" s="39">
        <v>3508</v>
      </c>
      <c r="AJ33" s="105">
        <f t="shared" si="27"/>
        <v>25196</v>
      </c>
      <c r="AK33" s="39">
        <v>271</v>
      </c>
      <c r="AL33" s="39">
        <v>80</v>
      </c>
      <c r="AM33" s="39">
        <v>266</v>
      </c>
      <c r="AN33" s="39">
        <v>411</v>
      </c>
      <c r="AO33" s="105">
        <f t="shared" si="28"/>
        <v>1028</v>
      </c>
    </row>
    <row r="34" spans="1:41" ht="15" customHeight="1" x14ac:dyDescent="0.25">
      <c r="A34" s="5" t="s">
        <v>154</v>
      </c>
      <c r="B34" s="39">
        <v>-1000</v>
      </c>
      <c r="C34" s="39">
        <v>0</v>
      </c>
      <c r="D34" s="39">
        <v>0</v>
      </c>
      <c r="E34" s="39">
        <v>0</v>
      </c>
      <c r="F34" s="50">
        <v>-1000</v>
      </c>
      <c r="G34" s="39">
        <v>0</v>
      </c>
      <c r="H34" s="39">
        <v>-171</v>
      </c>
      <c r="I34" s="39">
        <v>-25</v>
      </c>
      <c r="J34" s="39">
        <v>-26</v>
      </c>
      <c r="K34" s="50">
        <v>-222</v>
      </c>
      <c r="L34" s="39">
        <v>119</v>
      </c>
      <c r="M34" s="39">
        <v>145</v>
      </c>
      <c r="N34" s="39">
        <v>15082</v>
      </c>
      <c r="O34" s="39">
        <v>9256</v>
      </c>
      <c r="P34" s="106">
        <v>24602</v>
      </c>
      <c r="Q34" s="39">
        <f>-312+17157</f>
        <v>16845</v>
      </c>
      <c r="R34" s="39">
        <v>-35</v>
      </c>
      <c r="S34" s="39">
        <v>-136</v>
      </c>
      <c r="T34" s="39">
        <v>141</v>
      </c>
      <c r="U34" s="105">
        <f t="shared" si="24"/>
        <v>16815</v>
      </c>
      <c r="V34" s="39">
        <v>-30</v>
      </c>
      <c r="W34" s="39">
        <v>-209</v>
      </c>
      <c r="X34" s="39">
        <v>-928</v>
      </c>
      <c r="Y34" s="39">
        <v>-25</v>
      </c>
      <c r="Z34" s="105">
        <f t="shared" si="25"/>
        <v>-1192</v>
      </c>
      <c r="AA34" s="39">
        <v>-354</v>
      </c>
      <c r="AB34" s="39">
        <v>-573</v>
      </c>
      <c r="AC34" s="39">
        <v>-1083</v>
      </c>
      <c r="AD34" s="39">
        <v>347</v>
      </c>
      <c r="AE34" s="105">
        <f t="shared" si="26"/>
        <v>-1663</v>
      </c>
      <c r="AF34" s="39">
        <v>-378</v>
      </c>
      <c r="AG34" s="39">
        <v>-370</v>
      </c>
      <c r="AH34" s="39">
        <v>-2888</v>
      </c>
      <c r="AI34" s="39">
        <v>-401</v>
      </c>
      <c r="AJ34" s="105">
        <f>SUM(AF34:AI34)</f>
        <v>-4037</v>
      </c>
      <c r="AK34" s="39"/>
      <c r="AL34" s="39"/>
      <c r="AM34" s="39">
        <v>107</v>
      </c>
      <c r="AN34" s="39">
        <v>-372</v>
      </c>
      <c r="AO34" s="105">
        <f>SUM(AK34:AN34)</f>
        <v>-265</v>
      </c>
    </row>
    <row r="35" spans="1:41" ht="15" customHeight="1" x14ac:dyDescent="0.25">
      <c r="A35" s="5" t="s">
        <v>155</v>
      </c>
      <c r="B35" s="39"/>
      <c r="C35" s="39"/>
      <c r="D35" s="39"/>
      <c r="E35" s="39"/>
      <c r="F35" s="50"/>
      <c r="G35" s="39"/>
      <c r="H35" s="39"/>
      <c r="I35" s="39"/>
      <c r="J35" s="39"/>
      <c r="K35" s="50"/>
      <c r="L35" s="39"/>
      <c r="M35" s="39"/>
      <c r="N35" s="39"/>
      <c r="O35" s="39"/>
      <c r="P35" s="106"/>
      <c r="Q35" s="39"/>
      <c r="R35" s="39"/>
      <c r="S35" s="39"/>
      <c r="T35" s="39">
        <v>-80000</v>
      </c>
      <c r="U35" s="105">
        <f t="shared" si="24"/>
        <v>-80000</v>
      </c>
      <c r="V35" s="39">
        <v>0</v>
      </c>
      <c r="W35" s="39">
        <v>0</v>
      </c>
      <c r="X35" s="39">
        <v>-17603</v>
      </c>
      <c r="Y35" s="39">
        <v>-40985</v>
      </c>
      <c r="Z35" s="105">
        <f t="shared" si="25"/>
        <v>-58588</v>
      </c>
      <c r="AA35" s="39">
        <v>-18241</v>
      </c>
      <c r="AB35" s="39">
        <v>-14860</v>
      </c>
      <c r="AC35" s="39">
        <v>-10554</v>
      </c>
      <c r="AD35" s="39">
        <v>0</v>
      </c>
      <c r="AE35" s="105">
        <f t="shared" si="26"/>
        <v>-43655</v>
      </c>
      <c r="AF35" s="39">
        <v>-4930</v>
      </c>
      <c r="AG35" s="39">
        <v>-29999</v>
      </c>
      <c r="AH35" s="39">
        <v>-37682</v>
      </c>
      <c r="AI35" s="39">
        <v>-27416</v>
      </c>
      <c r="AJ35" s="105">
        <f>SUM(AF35:AI35)</f>
        <v>-100027</v>
      </c>
      <c r="AK35" s="39">
        <v>-8304</v>
      </c>
      <c r="AL35" s="39">
        <v>-21030</v>
      </c>
      <c r="AM35" s="39">
        <v>-29828</v>
      </c>
      <c r="AN35" s="39">
        <v>-76523</v>
      </c>
      <c r="AO35" s="105">
        <f>SUM(AK35:AN35)</f>
        <v>-135685</v>
      </c>
    </row>
    <row r="36" spans="1:41" ht="15" customHeight="1" x14ac:dyDescent="0.25">
      <c r="A36" s="5" t="s">
        <v>156</v>
      </c>
      <c r="B36" s="39"/>
      <c r="C36" s="39"/>
      <c r="D36" s="39"/>
      <c r="E36" s="39"/>
      <c r="F36" s="50"/>
      <c r="G36" s="39"/>
      <c r="H36" s="39"/>
      <c r="I36" s="39"/>
      <c r="J36" s="39"/>
      <c r="K36" s="50"/>
      <c r="L36" s="39"/>
      <c r="M36" s="39"/>
      <c r="N36" s="39"/>
      <c r="O36" s="39"/>
      <c r="P36" s="106"/>
      <c r="Q36" s="39"/>
      <c r="R36" s="39"/>
      <c r="S36" s="39"/>
      <c r="T36" s="39"/>
      <c r="U36" s="105"/>
      <c r="V36" s="39"/>
      <c r="W36" s="39"/>
      <c r="X36" s="39"/>
      <c r="Y36" s="39"/>
      <c r="Z36" s="105"/>
      <c r="AA36" s="39"/>
      <c r="AB36" s="39"/>
      <c r="AC36" s="39"/>
      <c r="AD36" s="39"/>
      <c r="AE36" s="105"/>
      <c r="AF36" s="39"/>
      <c r="AG36" s="39"/>
      <c r="AH36" s="39"/>
      <c r="AI36" s="39"/>
      <c r="AJ36" s="105"/>
      <c r="AK36" s="39">
        <v>6666</v>
      </c>
      <c r="AL36" s="39">
        <v>7808</v>
      </c>
      <c r="AM36" s="39">
        <f>7780-12</f>
        <v>7768</v>
      </c>
      <c r="AN36" s="39">
        <v>-364</v>
      </c>
      <c r="AO36" s="105">
        <f>SUM(AK36:AN36)</f>
        <v>21878</v>
      </c>
    </row>
    <row r="37" spans="1:41" ht="15" customHeight="1" x14ac:dyDescent="0.25">
      <c r="A37" s="10" t="s">
        <v>157</v>
      </c>
      <c r="B37" s="42">
        <f t="shared" ref="B37:U37" si="29">SUM(B31:B35)</f>
        <v>-679</v>
      </c>
      <c r="C37" s="42">
        <f t="shared" si="29"/>
        <v>3862</v>
      </c>
      <c r="D37" s="42">
        <f t="shared" si="29"/>
        <v>2881</v>
      </c>
      <c r="E37" s="42">
        <f t="shared" si="29"/>
        <v>1749</v>
      </c>
      <c r="F37" s="54">
        <f t="shared" si="29"/>
        <v>7811</v>
      </c>
      <c r="G37" s="42">
        <f t="shared" si="29"/>
        <v>4736.6395649999995</v>
      </c>
      <c r="H37" s="42">
        <f t="shared" si="29"/>
        <v>8286</v>
      </c>
      <c r="I37" s="42">
        <f t="shared" si="29"/>
        <v>2346</v>
      </c>
      <c r="J37" s="42">
        <f t="shared" si="29"/>
        <v>75202</v>
      </c>
      <c r="K37" s="54">
        <f t="shared" si="29"/>
        <v>90570</v>
      </c>
      <c r="L37" s="42">
        <f t="shared" si="29"/>
        <v>11003</v>
      </c>
      <c r="M37" s="42">
        <f t="shared" si="29"/>
        <v>-64052</v>
      </c>
      <c r="N37" s="42">
        <f t="shared" si="29"/>
        <v>17794</v>
      </c>
      <c r="O37" s="42">
        <f t="shared" si="29"/>
        <v>5786</v>
      </c>
      <c r="P37" s="110">
        <f t="shared" si="29"/>
        <v>-29468</v>
      </c>
      <c r="Q37" s="42">
        <f t="shared" si="29"/>
        <v>16773</v>
      </c>
      <c r="R37" s="42">
        <f t="shared" si="29"/>
        <v>126</v>
      </c>
      <c r="S37" s="42">
        <f t="shared" si="29"/>
        <v>-172</v>
      </c>
      <c r="T37" s="42">
        <f>SUM(T31:T35)</f>
        <v>-79403</v>
      </c>
      <c r="U37" s="110">
        <f t="shared" si="29"/>
        <v>-62676</v>
      </c>
      <c r="V37" s="42">
        <f t="shared" ref="V37:W37" si="30">SUM(V31:V35)</f>
        <v>-191</v>
      </c>
      <c r="W37" s="42">
        <f t="shared" si="30"/>
        <v>-474</v>
      </c>
      <c r="X37" s="42">
        <f>SUM(X31:X35)</f>
        <v>-17973</v>
      </c>
      <c r="Y37" s="42">
        <f>SUM(Y31:Y35)</f>
        <v>-40473</v>
      </c>
      <c r="Z37" s="110">
        <f t="shared" ref="Z37:AB37" si="31">SUM(Z31:Z35)</f>
        <v>-59111</v>
      </c>
      <c r="AA37" s="42">
        <f t="shared" si="31"/>
        <v>-18761</v>
      </c>
      <c r="AB37" s="42">
        <f t="shared" si="31"/>
        <v>138858</v>
      </c>
      <c r="AC37" s="42">
        <f>SUM(AC31:AC35)</f>
        <v>-8339</v>
      </c>
      <c r="AD37" s="42">
        <f>SUM(AD31:AD35)</f>
        <v>-169505</v>
      </c>
      <c r="AE37" s="110">
        <f>SUM(AE31:AE35)</f>
        <v>-57747</v>
      </c>
      <c r="AF37" s="42">
        <f t="shared" ref="AF37:AG37" si="32">SUM(AF31:AF35)</f>
        <v>-3416</v>
      </c>
      <c r="AG37" s="42">
        <f t="shared" si="32"/>
        <v>-23958</v>
      </c>
      <c r="AH37" s="42">
        <f>SUM(AH31:AH35)</f>
        <v>-28447</v>
      </c>
      <c r="AI37" s="42">
        <f>SUM(AI31:AI35)</f>
        <v>-24296</v>
      </c>
      <c r="AJ37" s="110">
        <f>SUM(AJ31:AJ35)</f>
        <v>-80117</v>
      </c>
      <c r="AK37" s="42">
        <f>SUM(AK31:AK36)</f>
        <v>-1367</v>
      </c>
      <c r="AL37" s="42">
        <f t="shared" ref="AL37:AM37" si="33">SUM(AL31:AL36)</f>
        <v>-13142</v>
      </c>
      <c r="AM37" s="42">
        <f t="shared" si="33"/>
        <v>-21687</v>
      </c>
      <c r="AN37" s="42">
        <f>SUM(AN31:AN36)</f>
        <v>-76848</v>
      </c>
      <c r="AO37" s="110">
        <f>SUM(AO31:AO36)</f>
        <v>-113044</v>
      </c>
    </row>
    <row r="38" spans="1:41" ht="15" customHeight="1" x14ac:dyDescent="0.25">
      <c r="A38" s="5" t="s">
        <v>158</v>
      </c>
      <c r="B38" s="41">
        <v>-41957</v>
      </c>
      <c r="C38" s="41">
        <v>11640</v>
      </c>
      <c r="D38" s="41">
        <v>-1256</v>
      </c>
      <c r="E38" s="41">
        <v>-10047</v>
      </c>
      <c r="F38" s="53">
        <v>-41618</v>
      </c>
      <c r="G38" s="41">
        <f>20256.4703675634</f>
        <v>20256.470367563401</v>
      </c>
      <c r="H38" s="41">
        <f>-8597+1</f>
        <v>-8596</v>
      </c>
      <c r="I38" s="41">
        <v>4058</v>
      </c>
      <c r="J38" s="41">
        <v>-30215</v>
      </c>
      <c r="K38" s="53">
        <v>-14496</v>
      </c>
      <c r="L38" s="41">
        <v>6892</v>
      </c>
      <c r="M38" s="41">
        <v>32231</v>
      </c>
      <c r="N38" s="41">
        <f>-1866</f>
        <v>-1866</v>
      </c>
      <c r="O38" s="41">
        <v>-3200</v>
      </c>
      <c r="P38" s="109">
        <v>34057</v>
      </c>
      <c r="Q38" s="41">
        <v>11953</v>
      </c>
      <c r="R38" s="41">
        <v>-26363</v>
      </c>
      <c r="S38" s="41">
        <v>-3878</v>
      </c>
      <c r="T38" s="41">
        <v>-2728</v>
      </c>
      <c r="U38" s="109">
        <v>-21018</v>
      </c>
      <c r="V38" s="41">
        <v>-6643</v>
      </c>
      <c r="W38" s="41">
        <v>7099</v>
      </c>
      <c r="X38" s="41">
        <v>-14188</v>
      </c>
      <c r="Y38" s="41">
        <v>8236</v>
      </c>
      <c r="Z38" s="109">
        <v>-5496</v>
      </c>
      <c r="AA38" s="41">
        <v>-9391</v>
      </c>
      <c r="AB38" s="41">
        <v>9210</v>
      </c>
      <c r="AC38" s="41">
        <v>18927</v>
      </c>
      <c r="AD38" s="41">
        <v>23986</v>
      </c>
      <c r="AE38" s="119">
        <f>SUM(AA38:AD38)</f>
        <v>42732</v>
      </c>
      <c r="AF38" s="41">
        <v>-24865</v>
      </c>
      <c r="AG38" s="41">
        <v>6841</v>
      </c>
      <c r="AH38" s="41">
        <v>-5414</v>
      </c>
      <c r="AI38" s="41">
        <v>-13475</v>
      </c>
      <c r="AJ38" s="119">
        <f>SUM(AF38:AI38)</f>
        <v>-36913</v>
      </c>
      <c r="AK38" s="41">
        <v>-16673</v>
      </c>
      <c r="AL38" s="41">
        <v>-33996</v>
      </c>
      <c r="AM38" s="41">
        <v>-18144</v>
      </c>
      <c r="AN38" s="41">
        <v>24665</v>
      </c>
      <c r="AO38" s="119">
        <f>SUM(AK38:AN38)-1</f>
        <v>-44149</v>
      </c>
    </row>
    <row r="39" spans="1:41" ht="15" customHeight="1" x14ac:dyDescent="0.25">
      <c r="A39" s="10" t="s">
        <v>159</v>
      </c>
      <c r="B39" s="42">
        <f t="shared" ref="B39:AL39" si="34">SUM(B24,B30,B37,B38)</f>
        <v>-35451</v>
      </c>
      <c r="C39" s="42">
        <f t="shared" si="34"/>
        <v>4733</v>
      </c>
      <c r="D39" s="42">
        <f t="shared" si="34"/>
        <v>-6465</v>
      </c>
      <c r="E39" s="42">
        <f t="shared" si="34"/>
        <v>38893</v>
      </c>
      <c r="F39" s="54">
        <f t="shared" si="34"/>
        <v>1710</v>
      </c>
      <c r="G39" s="42">
        <f t="shared" si="34"/>
        <v>32573.540638811399</v>
      </c>
      <c r="H39" s="42">
        <f t="shared" si="34"/>
        <v>-8703</v>
      </c>
      <c r="I39" s="42">
        <f t="shared" si="34"/>
        <v>29751</v>
      </c>
      <c r="J39" s="42">
        <f t="shared" si="34"/>
        <v>-136841</v>
      </c>
      <c r="K39" s="54">
        <f t="shared" si="34"/>
        <v>-83220</v>
      </c>
      <c r="L39" s="42">
        <f t="shared" si="34"/>
        <v>33496</v>
      </c>
      <c r="M39" s="42">
        <f t="shared" si="34"/>
        <v>4372</v>
      </c>
      <c r="N39" s="42">
        <f t="shared" si="34"/>
        <v>49798</v>
      </c>
      <c r="O39" s="42">
        <f t="shared" si="34"/>
        <v>56128</v>
      </c>
      <c r="P39" s="110">
        <f t="shared" si="34"/>
        <v>143794</v>
      </c>
      <c r="Q39" s="42">
        <f t="shared" si="34"/>
        <v>69763</v>
      </c>
      <c r="R39" s="42">
        <f t="shared" si="34"/>
        <v>-3589</v>
      </c>
      <c r="S39" s="42">
        <f t="shared" si="34"/>
        <v>-21595</v>
      </c>
      <c r="T39" s="42">
        <f t="shared" si="34"/>
        <v>-94264</v>
      </c>
      <c r="U39" s="110">
        <f t="shared" si="34"/>
        <v>-49685</v>
      </c>
      <c r="V39" s="42">
        <f t="shared" si="34"/>
        <v>31345</v>
      </c>
      <c r="W39" s="42">
        <f t="shared" si="34"/>
        <v>26282</v>
      </c>
      <c r="X39" s="42">
        <f t="shared" si="34"/>
        <v>-12875</v>
      </c>
      <c r="Y39" s="42">
        <f t="shared" si="34"/>
        <v>9585</v>
      </c>
      <c r="Z39" s="110">
        <f t="shared" si="34"/>
        <v>54337</v>
      </c>
      <c r="AA39" s="42">
        <f t="shared" si="34"/>
        <v>17743</v>
      </c>
      <c r="AB39" s="42">
        <f t="shared" si="34"/>
        <v>141675</v>
      </c>
      <c r="AC39" s="42">
        <f t="shared" si="34"/>
        <v>48563</v>
      </c>
      <c r="AD39" s="42">
        <f t="shared" si="34"/>
        <v>-138733</v>
      </c>
      <c r="AE39" s="110">
        <f t="shared" si="34"/>
        <v>69248</v>
      </c>
      <c r="AF39" s="42">
        <f t="shared" si="34"/>
        <v>32049</v>
      </c>
      <c r="AG39" s="42">
        <f t="shared" si="34"/>
        <v>-30539</v>
      </c>
      <c r="AH39" s="42">
        <f t="shared" si="34"/>
        <v>7937</v>
      </c>
      <c r="AI39" s="42">
        <f t="shared" si="34"/>
        <v>18069</v>
      </c>
      <c r="AJ39" s="110">
        <f t="shared" si="34"/>
        <v>27516</v>
      </c>
      <c r="AK39" s="42">
        <f t="shared" si="34"/>
        <v>73815</v>
      </c>
      <c r="AL39" s="42">
        <f t="shared" si="34"/>
        <v>-26796</v>
      </c>
      <c r="AM39" s="42">
        <f>SUM(AM24,AM30,AM37,AM38)-1</f>
        <v>-155223</v>
      </c>
      <c r="AN39" s="42">
        <f>SUM(AN24,AN30,AN37,AN38)</f>
        <v>40877</v>
      </c>
      <c r="AO39" s="110">
        <f>SUM(AO24,AO30,AO37,AO38)</f>
        <v>-67327</v>
      </c>
    </row>
    <row r="40" spans="1:41" ht="15" customHeight="1" x14ac:dyDescent="0.25">
      <c r="A40" s="5" t="s">
        <v>160</v>
      </c>
      <c r="B40" s="39">
        <v>351827</v>
      </c>
      <c r="C40" s="38">
        <f>B41</f>
        <v>316376</v>
      </c>
      <c r="D40" s="38">
        <f t="shared" ref="D40:E40" si="35">C41</f>
        <v>321109</v>
      </c>
      <c r="E40" s="38">
        <f t="shared" si="35"/>
        <v>314644</v>
      </c>
      <c r="F40" s="49">
        <f>B40</f>
        <v>351827</v>
      </c>
      <c r="G40" s="38">
        <f>F41</f>
        <v>353537</v>
      </c>
      <c r="H40" s="38">
        <f>G41</f>
        <v>386110.54063881142</v>
      </c>
      <c r="I40" s="38">
        <f>H41</f>
        <v>377407.54063881142</v>
      </c>
      <c r="J40" s="38">
        <f>I41</f>
        <v>407158.54063881142</v>
      </c>
      <c r="K40" s="49">
        <f>F41</f>
        <v>353537</v>
      </c>
      <c r="L40" s="38">
        <f>K41</f>
        <v>270317</v>
      </c>
      <c r="M40" s="38">
        <f t="shared" ref="M40:O40" si="36">L41</f>
        <v>303813</v>
      </c>
      <c r="N40" s="38">
        <f t="shared" si="36"/>
        <v>308185</v>
      </c>
      <c r="O40" s="38">
        <f t="shared" si="36"/>
        <v>357983</v>
      </c>
      <c r="P40" s="105">
        <f>K41</f>
        <v>270317</v>
      </c>
      <c r="Q40" s="38">
        <f>P41</f>
        <v>414111</v>
      </c>
      <c r="R40" s="38">
        <f>Q41</f>
        <v>483874</v>
      </c>
      <c r="S40" s="38">
        <f>R41</f>
        <v>480285</v>
      </c>
      <c r="T40" s="38">
        <f t="shared" ref="T40" si="37">S41</f>
        <v>458690</v>
      </c>
      <c r="U40" s="105">
        <f>P41</f>
        <v>414111</v>
      </c>
      <c r="V40" s="38">
        <f>U41</f>
        <v>364426</v>
      </c>
      <c r="W40" s="38">
        <f>V41</f>
        <v>395771</v>
      </c>
      <c r="X40" s="38">
        <f>W41</f>
        <v>422053</v>
      </c>
      <c r="Y40" s="38">
        <f t="shared" ref="Y40" si="38">X41</f>
        <v>409178</v>
      </c>
      <c r="Z40" s="105">
        <f>U41</f>
        <v>364426</v>
      </c>
      <c r="AA40" s="38">
        <f>Z41</f>
        <v>418763</v>
      </c>
      <c r="AB40" s="38">
        <f>AA41</f>
        <v>436506</v>
      </c>
      <c r="AC40" s="38">
        <f>AB41</f>
        <v>578181</v>
      </c>
      <c r="AD40" s="38">
        <f t="shared" ref="AD40" si="39">AC41</f>
        <v>626744</v>
      </c>
      <c r="AE40" s="105">
        <f>Z41</f>
        <v>418763</v>
      </c>
      <c r="AF40" s="38">
        <f>AE41</f>
        <v>488011</v>
      </c>
      <c r="AG40" s="38">
        <f>AF41</f>
        <v>520060</v>
      </c>
      <c r="AH40" s="38">
        <f>AG41</f>
        <v>489521</v>
      </c>
      <c r="AI40" s="38">
        <f t="shared" ref="AI40" si="40">AH41</f>
        <v>497458</v>
      </c>
      <c r="AJ40" s="105">
        <f>AE41</f>
        <v>488011</v>
      </c>
      <c r="AK40" s="62">
        <f>AJ41</f>
        <v>515527</v>
      </c>
      <c r="AL40" s="38">
        <f>AK41</f>
        <v>589342</v>
      </c>
      <c r="AM40" s="38">
        <f>AL41</f>
        <v>562546</v>
      </c>
      <c r="AN40" s="38">
        <f t="shared" ref="AN40" si="41">AM41</f>
        <v>407323</v>
      </c>
      <c r="AO40" s="105">
        <f>AJ41</f>
        <v>515527</v>
      </c>
    </row>
    <row r="41" spans="1:41" ht="15" customHeight="1" x14ac:dyDescent="0.25">
      <c r="A41" s="10" t="s">
        <v>161</v>
      </c>
      <c r="B41" s="62">
        <f>SUM(B40,B39)</f>
        <v>316376</v>
      </c>
      <c r="C41" s="62">
        <f t="shared" ref="C41:W41" si="42">SUM(C40,C39)</f>
        <v>321109</v>
      </c>
      <c r="D41" s="62">
        <f t="shared" si="42"/>
        <v>314644</v>
      </c>
      <c r="E41" s="62">
        <f t="shared" si="42"/>
        <v>353537</v>
      </c>
      <c r="F41" s="98">
        <f t="shared" si="42"/>
        <v>353537</v>
      </c>
      <c r="G41" s="62">
        <f t="shared" si="42"/>
        <v>386110.54063881142</v>
      </c>
      <c r="H41" s="62">
        <f t="shared" si="42"/>
        <v>377407.54063881142</v>
      </c>
      <c r="I41" s="62">
        <f t="shared" si="42"/>
        <v>407158.54063881142</v>
      </c>
      <c r="J41" s="62">
        <f t="shared" si="42"/>
        <v>270317.54063881142</v>
      </c>
      <c r="K41" s="98">
        <f t="shared" si="42"/>
        <v>270317</v>
      </c>
      <c r="L41" s="62">
        <f t="shared" si="42"/>
        <v>303813</v>
      </c>
      <c r="M41" s="62">
        <f t="shared" si="42"/>
        <v>308185</v>
      </c>
      <c r="N41" s="62">
        <f t="shared" si="42"/>
        <v>357983</v>
      </c>
      <c r="O41" s="62">
        <f t="shared" si="42"/>
        <v>414111</v>
      </c>
      <c r="P41" s="120">
        <f t="shared" si="42"/>
        <v>414111</v>
      </c>
      <c r="Q41" s="62">
        <f t="shared" si="42"/>
        <v>483874</v>
      </c>
      <c r="R41" s="62">
        <f t="shared" si="42"/>
        <v>480285</v>
      </c>
      <c r="S41" s="62">
        <f t="shared" si="42"/>
        <v>458690</v>
      </c>
      <c r="T41" s="62">
        <f t="shared" si="42"/>
        <v>364426</v>
      </c>
      <c r="U41" s="120">
        <f t="shared" si="42"/>
        <v>364426</v>
      </c>
      <c r="V41" s="62">
        <f t="shared" si="42"/>
        <v>395771</v>
      </c>
      <c r="W41" s="62">
        <f t="shared" si="42"/>
        <v>422053</v>
      </c>
      <c r="X41" s="62">
        <f t="shared" ref="X41:AB41" si="43">SUM(X40,X39)</f>
        <v>409178</v>
      </c>
      <c r="Y41" s="62">
        <f t="shared" si="43"/>
        <v>418763</v>
      </c>
      <c r="Z41" s="120">
        <f t="shared" si="43"/>
        <v>418763</v>
      </c>
      <c r="AA41" s="62">
        <f t="shared" si="43"/>
        <v>436506</v>
      </c>
      <c r="AB41" s="62">
        <f t="shared" si="43"/>
        <v>578181</v>
      </c>
      <c r="AC41" s="62">
        <f t="shared" ref="AC41:AG41" si="44">SUM(AC40,AC39)</f>
        <v>626744</v>
      </c>
      <c r="AD41" s="62">
        <f t="shared" si="44"/>
        <v>488011</v>
      </c>
      <c r="AE41" s="120">
        <f t="shared" si="44"/>
        <v>488011</v>
      </c>
      <c r="AF41" s="62">
        <f t="shared" si="44"/>
        <v>520060</v>
      </c>
      <c r="AG41" s="62">
        <f t="shared" si="44"/>
        <v>489521</v>
      </c>
      <c r="AH41" s="62">
        <f t="shared" ref="AH41:AJ41" si="45">SUM(AH40,AH39)</f>
        <v>497458</v>
      </c>
      <c r="AI41" s="62">
        <f t="shared" si="45"/>
        <v>515527</v>
      </c>
      <c r="AJ41" s="120">
        <f t="shared" si="45"/>
        <v>515527</v>
      </c>
      <c r="AK41" s="62">
        <f>SUM(AK40,AK39)</f>
        <v>589342</v>
      </c>
      <c r="AL41" s="62">
        <f>SUM(AL40,AL39)</f>
        <v>562546</v>
      </c>
      <c r="AM41" s="62">
        <f>SUM(AM40,AM39)</f>
        <v>407323</v>
      </c>
      <c r="AN41" s="62">
        <f>SUM(AN40,AN39)</f>
        <v>448200</v>
      </c>
      <c r="AO41" s="120">
        <f t="shared" ref="AO41" si="46">SUM(AO40,AO39)</f>
        <v>448200</v>
      </c>
    </row>
    <row r="42" spans="1:41" ht="15" customHeight="1" x14ac:dyDescent="0.25">
      <c r="A42" s="10" t="s">
        <v>162</v>
      </c>
      <c r="B42" s="36"/>
      <c r="C42" s="36"/>
      <c r="D42" s="36"/>
      <c r="E42" s="36"/>
      <c r="F42" s="47"/>
      <c r="G42" s="36"/>
      <c r="H42" s="36"/>
      <c r="I42" s="36"/>
      <c r="J42" s="36"/>
      <c r="K42" s="47"/>
      <c r="L42" s="36"/>
      <c r="M42" s="36"/>
      <c r="N42" s="36"/>
      <c r="O42" s="36"/>
      <c r="P42" s="103"/>
      <c r="Q42" s="36"/>
      <c r="R42" s="36"/>
      <c r="S42" s="36"/>
      <c r="T42" s="36"/>
      <c r="U42" s="103"/>
      <c r="V42" s="36"/>
      <c r="W42" s="36"/>
      <c r="X42" s="36"/>
      <c r="Y42" s="36"/>
      <c r="Z42" s="103"/>
      <c r="AA42" s="36"/>
      <c r="AB42" s="36"/>
      <c r="AC42" s="36"/>
      <c r="AD42" s="36"/>
      <c r="AE42" s="103"/>
      <c r="AF42" s="36"/>
      <c r="AG42" s="36"/>
      <c r="AH42" s="36"/>
      <c r="AI42" s="36"/>
      <c r="AJ42" s="103"/>
      <c r="AK42" s="36"/>
      <c r="AL42" s="36"/>
      <c r="AM42" s="36"/>
      <c r="AN42" s="36"/>
      <c r="AO42" s="103"/>
    </row>
    <row r="43" spans="1:41" ht="15" customHeight="1" x14ac:dyDescent="0.25">
      <c r="A43" s="5" t="s">
        <v>163</v>
      </c>
      <c r="B43" s="62"/>
      <c r="C43" s="62"/>
      <c r="D43" s="62"/>
      <c r="E43" s="62"/>
      <c r="F43" s="98"/>
      <c r="G43" s="62"/>
      <c r="H43" s="62"/>
      <c r="I43" s="62"/>
      <c r="J43" s="62"/>
      <c r="K43" s="98"/>
      <c r="L43" s="99">
        <v>-11683</v>
      </c>
      <c r="M43" s="99">
        <v>-15848</v>
      </c>
      <c r="N43" s="99">
        <v>-10165</v>
      </c>
      <c r="O43" s="99">
        <v>-18665</v>
      </c>
      <c r="P43" s="121">
        <v>-56360</v>
      </c>
      <c r="Q43" s="99">
        <v>-14216</v>
      </c>
      <c r="R43" s="99">
        <v>-18343</v>
      </c>
      <c r="S43" s="99">
        <v>-23614</v>
      </c>
      <c r="T43" s="99">
        <v>-10871</v>
      </c>
      <c r="U43" s="121">
        <v>-67045</v>
      </c>
      <c r="V43" s="99">
        <v>-17868</v>
      </c>
      <c r="W43" s="99">
        <v>-7127</v>
      </c>
      <c r="X43" s="99">
        <v>-19932</v>
      </c>
      <c r="Y43" s="99">
        <v>-7166</v>
      </c>
      <c r="Z43" s="121">
        <v>-52093</v>
      </c>
      <c r="AA43" s="99">
        <v>-12047</v>
      </c>
      <c r="AB43" s="99">
        <v>-4519</v>
      </c>
      <c r="AC43" s="99">
        <v>4337</v>
      </c>
      <c r="AD43" s="99">
        <v>-5381</v>
      </c>
      <c r="AE43" s="121">
        <v>-17610</v>
      </c>
      <c r="AF43" s="99">
        <v>-8432</v>
      </c>
      <c r="AG43" s="99">
        <v>-5150</v>
      </c>
      <c r="AH43" s="99">
        <v>-9703</v>
      </c>
      <c r="AI43" s="99">
        <v>-5482</v>
      </c>
      <c r="AJ43" s="121">
        <v>-28767</v>
      </c>
      <c r="AK43" s="99">
        <v>-7978</v>
      </c>
      <c r="AL43" s="99">
        <v>-17107</v>
      </c>
      <c r="AM43" s="99">
        <v>-8600</v>
      </c>
      <c r="AN43" s="99">
        <v>-4439</v>
      </c>
      <c r="AO43" s="184">
        <v>-38124</v>
      </c>
    </row>
    <row r="44" spans="1:41" ht="15" customHeight="1" x14ac:dyDescent="0.25">
      <c r="A44" s="5" t="s">
        <v>164</v>
      </c>
      <c r="B44" s="62"/>
      <c r="C44" s="62"/>
      <c r="D44" s="62"/>
      <c r="E44" s="62"/>
      <c r="F44" s="98"/>
      <c r="G44" s="62"/>
      <c r="H44" s="62"/>
      <c r="I44" s="62"/>
      <c r="J44" s="62"/>
      <c r="K44" s="98"/>
      <c r="L44" s="99">
        <v>-568</v>
      </c>
      <c r="M44" s="99">
        <v>-695</v>
      </c>
      <c r="N44" s="99">
        <v>-495</v>
      </c>
      <c r="O44" s="99">
        <v>-344</v>
      </c>
      <c r="P44" s="121">
        <v>-2102</v>
      </c>
      <c r="Q44" s="99">
        <v>-407</v>
      </c>
      <c r="R44" s="99">
        <v>-432</v>
      </c>
      <c r="S44" s="99">
        <v>-422</v>
      </c>
      <c r="T44" s="99">
        <v>-433</v>
      </c>
      <c r="U44" s="121">
        <v>-1695</v>
      </c>
      <c r="V44" s="99">
        <v>-407</v>
      </c>
      <c r="W44" s="99">
        <v>-351</v>
      </c>
      <c r="X44" s="99">
        <v>-337</v>
      </c>
      <c r="Y44" s="99">
        <v>-308</v>
      </c>
      <c r="Z44" s="121">
        <v>-1403</v>
      </c>
      <c r="AA44" s="99">
        <v>-349</v>
      </c>
      <c r="AB44" s="99">
        <v>-317</v>
      </c>
      <c r="AC44" s="99">
        <v>-153</v>
      </c>
      <c r="AD44" s="99">
        <v>-1336</v>
      </c>
      <c r="AE44" s="121">
        <v>-2155</v>
      </c>
      <c r="AF44" s="99">
        <v>-367</v>
      </c>
      <c r="AG44" s="99">
        <v>-369</v>
      </c>
      <c r="AH44" s="99">
        <v>-403</v>
      </c>
      <c r="AI44" s="99">
        <v>-347</v>
      </c>
      <c r="AJ44" s="121">
        <v>-1486</v>
      </c>
      <c r="AK44" s="99">
        <v>-365</v>
      </c>
      <c r="AL44" s="99">
        <v>-261</v>
      </c>
      <c r="AM44" s="99">
        <v>-333</v>
      </c>
      <c r="AN44" s="99">
        <v>-339</v>
      </c>
      <c r="AO44" s="184">
        <v>-1298</v>
      </c>
    </row>
    <row r="45" spans="1:41" ht="15" customHeight="1" x14ac:dyDescent="0.25">
      <c r="F45" s="9"/>
      <c r="K45" s="9"/>
      <c r="P45" s="100"/>
      <c r="U45" s="100"/>
      <c r="Z45" s="100"/>
      <c r="AE45" s="100"/>
      <c r="AJ45" s="100"/>
      <c r="AO45" s="100"/>
    </row>
    <row r="46" spans="1:41" ht="15" customHeight="1" x14ac:dyDescent="0.25"/>
    <row r="47" spans="1:41" ht="15" customHeight="1" x14ac:dyDescent="0.25">
      <c r="A47" s="5" t="s">
        <v>165</v>
      </c>
    </row>
    <row r="48" spans="1:4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pageMargins left="0.7" right="0.7" top="0.75" bottom="0.75" header="0.3" footer="0.3"/>
  <pageSetup orientation="landscape" r:id="rId1"/>
  <ignoredErrors>
    <ignoredError sqref="B15:V15"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O81"/>
  <sheetViews>
    <sheetView showGridLines="0" topLeftCell="AE1" zoomScale="85" zoomScaleNormal="85" workbookViewId="0">
      <selection activeCell="AO8" sqref="AO8"/>
    </sheetView>
  </sheetViews>
  <sheetFormatPr defaultColWidth="12.6640625" defaultRowHeight="13.2" outlineLevelRow="1" outlineLevelCol="1" x14ac:dyDescent="0.25"/>
  <cols>
    <col min="1" max="1" width="79.21875" style="151" customWidth="1"/>
    <col min="2" max="11" width="12.6640625" style="151" hidden="1" customWidth="1" outlineLevel="1"/>
    <col min="12" max="12" width="12.6640625" style="151" hidden="1" customWidth="1" outlineLevel="1" collapsed="1"/>
    <col min="13" max="13" width="12.6640625" style="151" hidden="1" customWidth="1" outlineLevel="1"/>
    <col min="14" max="14" width="12.6640625" style="151" hidden="1" customWidth="1" outlineLevel="1" collapsed="1"/>
    <col min="15" max="24" width="12.6640625" style="151" hidden="1" customWidth="1" outlineLevel="1"/>
    <col min="25" max="25" width="12.6640625" style="151" hidden="1" customWidth="1" collapsed="1"/>
    <col min="26" max="28" width="0" style="151" hidden="1" customWidth="1"/>
    <col min="29" max="16384" width="12.6640625" style="151"/>
  </cols>
  <sheetData>
    <row r="1" spans="1:41" x14ac:dyDescent="0.25">
      <c r="A1" s="154" t="s">
        <v>166</v>
      </c>
    </row>
    <row r="2" spans="1:41" x14ac:dyDescent="0.25">
      <c r="A2" s="151" t="s">
        <v>4</v>
      </c>
    </row>
    <row r="3" spans="1:41" ht="24" customHeight="1" x14ac:dyDescent="0.25">
      <c r="B3" s="188" t="s">
        <v>61</v>
      </c>
      <c r="C3" s="188" t="s">
        <v>62</v>
      </c>
      <c r="D3" s="188" t="s">
        <v>63</v>
      </c>
      <c r="E3" s="188" t="s">
        <v>64</v>
      </c>
      <c r="F3" s="189" t="s">
        <v>65</v>
      </c>
      <c r="G3" s="188" t="s">
        <v>66</v>
      </c>
      <c r="H3" s="188" t="s">
        <v>67</v>
      </c>
      <c r="I3" s="188" t="s">
        <v>68</v>
      </c>
      <c r="J3" s="188" t="s">
        <v>69</v>
      </c>
      <c r="K3" s="189" t="s">
        <v>70</v>
      </c>
      <c r="L3" s="188" t="s">
        <v>71</v>
      </c>
      <c r="M3" s="188" t="s">
        <v>72</v>
      </c>
      <c r="N3" s="188" t="s">
        <v>73</v>
      </c>
      <c r="O3" s="188" t="s">
        <v>74</v>
      </c>
      <c r="P3" s="190" t="s">
        <v>75</v>
      </c>
      <c r="Q3" s="188" t="s">
        <v>76</v>
      </c>
      <c r="R3" s="188" t="s">
        <v>77</v>
      </c>
      <c r="S3" s="188" t="s">
        <v>78</v>
      </c>
      <c r="T3" s="188" t="s">
        <v>79</v>
      </c>
      <c r="U3" s="190" t="s">
        <v>80</v>
      </c>
      <c r="V3" s="188" t="s">
        <v>81</v>
      </c>
      <c r="W3" s="188" t="s">
        <v>82</v>
      </c>
      <c r="X3" s="188" t="s">
        <v>83</v>
      </c>
      <c r="Y3" s="188" t="s">
        <v>84</v>
      </c>
      <c r="Z3" s="190" t="s">
        <v>85</v>
      </c>
      <c r="AA3" s="188" t="s">
        <v>86</v>
      </c>
      <c r="AB3" s="188" t="s">
        <v>87</v>
      </c>
      <c r="AC3" s="188" t="s">
        <v>88</v>
      </c>
      <c r="AD3" s="188" t="s">
        <v>89</v>
      </c>
      <c r="AE3" s="190" t="s">
        <v>90</v>
      </c>
      <c r="AF3" s="188" t="s">
        <v>91</v>
      </c>
      <c r="AG3" s="188" t="s">
        <v>92</v>
      </c>
      <c r="AH3" s="188" t="s">
        <v>93</v>
      </c>
      <c r="AI3" s="188" t="s">
        <v>94</v>
      </c>
      <c r="AJ3" s="190" t="s">
        <v>95</v>
      </c>
      <c r="AK3" s="188" t="s">
        <v>96</v>
      </c>
      <c r="AL3" s="188" t="s">
        <v>97</v>
      </c>
      <c r="AM3" s="188" t="s">
        <v>98</v>
      </c>
      <c r="AN3" s="188" t="s">
        <v>99</v>
      </c>
      <c r="AO3" s="190" t="s">
        <v>100</v>
      </c>
    </row>
    <row r="4" spans="1:41" ht="15" customHeight="1" x14ac:dyDescent="0.25">
      <c r="A4" s="154" t="s">
        <v>143</v>
      </c>
      <c r="B4" s="191">
        <f>Cashflows!B24</f>
        <v>41007</v>
      </c>
      <c r="C4" s="191">
        <f>Cashflows!C24</f>
        <v>11938</v>
      </c>
      <c r="D4" s="191">
        <f>Cashflows!D24</f>
        <v>17500</v>
      </c>
      <c r="E4" s="191">
        <f>Cashflows!E24</f>
        <v>66706</v>
      </c>
      <c r="F4" s="192">
        <f>Cashflows!F24</f>
        <v>137150</v>
      </c>
      <c r="G4" s="191">
        <f>Cashflows!G24</f>
        <v>18907.430706248</v>
      </c>
      <c r="H4" s="191">
        <f>Cashflows!H24</f>
        <v>19274</v>
      </c>
      <c r="I4" s="191">
        <f>Cashflows!I24</f>
        <v>43631</v>
      </c>
      <c r="J4" s="191">
        <f>Cashflows!J24</f>
        <v>71658</v>
      </c>
      <c r="K4" s="192">
        <f>Cashflows!K24</f>
        <v>153469</v>
      </c>
      <c r="L4" s="191">
        <f>Cashflows!L24</f>
        <v>44238</v>
      </c>
      <c r="M4" s="191">
        <f>Cashflows!M24</f>
        <v>60491</v>
      </c>
      <c r="N4" s="191">
        <f>Cashflows!N24</f>
        <v>61727</v>
      </c>
      <c r="O4" s="191">
        <f>Cashflows!O24</f>
        <v>79002</v>
      </c>
      <c r="P4" s="193">
        <f>Cashflows!P24</f>
        <v>245458</v>
      </c>
      <c r="Q4" s="191">
        <f>Cashflows!Q24</f>
        <v>84527</v>
      </c>
      <c r="R4" s="191">
        <f>Cashflows!R24</f>
        <v>40341</v>
      </c>
      <c r="S4" s="191">
        <f>Cashflows!S24</f>
        <v>50256</v>
      </c>
      <c r="T4" s="191">
        <f>Cashflows!T24</f>
        <v>85600</v>
      </c>
      <c r="U4" s="193">
        <f>Cashflows!U24</f>
        <v>260726</v>
      </c>
      <c r="V4" s="191">
        <f>Cashflows!V24</f>
        <v>67220</v>
      </c>
      <c r="W4" s="191">
        <f>Cashflows!W24</f>
        <v>52964</v>
      </c>
      <c r="X4" s="191">
        <f>Cashflows!X24</f>
        <v>43289</v>
      </c>
      <c r="Y4" s="191">
        <f>Cashflows!Y24</f>
        <v>59359</v>
      </c>
      <c r="Z4" s="193">
        <f>Cashflows!Z24</f>
        <v>222832</v>
      </c>
      <c r="AA4" s="191">
        <f>Cashflows!AA24</f>
        <v>56743</v>
      </c>
      <c r="AB4" s="191">
        <f>Cashflows!AB24</f>
        <v>33377</v>
      </c>
      <c r="AC4" s="191">
        <f>Cashflows!AC24</f>
        <v>51156</v>
      </c>
      <c r="AD4" s="191">
        <f>Cashflows!AD24</f>
        <v>44080</v>
      </c>
      <c r="AE4" s="193">
        <f>Cashflows!AE24</f>
        <v>185356</v>
      </c>
      <c r="AF4" s="191">
        <f>Cashflows!AF24</f>
        <v>77362</v>
      </c>
      <c r="AG4" s="191">
        <f>Cashflows!AG24</f>
        <v>26360</v>
      </c>
      <c r="AH4" s="191">
        <f>Cashflows!AH24</f>
        <v>51179</v>
      </c>
      <c r="AI4" s="191">
        <f>Cashflows!AI24</f>
        <v>66012</v>
      </c>
      <c r="AJ4" s="193">
        <f>Cashflows!AJ24</f>
        <v>220913</v>
      </c>
      <c r="AK4" s="191">
        <f>Cashflows!AK24</f>
        <v>74930</v>
      </c>
      <c r="AL4" s="191">
        <f>Cashflows!AL24</f>
        <v>13972</v>
      </c>
      <c r="AM4" s="191">
        <f>Cashflows!AM24</f>
        <v>41628</v>
      </c>
      <c r="AN4" s="191">
        <f>Cashflows!AN24</f>
        <v>125455</v>
      </c>
      <c r="AO4" s="193">
        <f>Cashflows!AO24</f>
        <v>255985</v>
      </c>
    </row>
    <row r="5" spans="1:41" ht="15" customHeight="1" x14ac:dyDescent="0.25">
      <c r="A5" s="151" t="s">
        <v>144</v>
      </c>
      <c r="B5" s="194">
        <f>Cashflows!B25</f>
        <v>-11528</v>
      </c>
      <c r="C5" s="194">
        <f>Cashflows!C25</f>
        <v>-29630</v>
      </c>
      <c r="D5" s="194">
        <f>Cashflows!D25</f>
        <v>-21514</v>
      </c>
      <c r="E5" s="194">
        <f>Cashflows!E25</f>
        <v>-12936</v>
      </c>
      <c r="F5" s="195">
        <f>Cashflows!F25</f>
        <v>-75607</v>
      </c>
      <c r="G5" s="194">
        <f>Cashflows!G25</f>
        <v>-13615</v>
      </c>
      <c r="H5" s="194">
        <f>Cashflows!H25</f>
        <v>-25564</v>
      </c>
      <c r="I5" s="194">
        <f>Cashflows!I25</f>
        <v>-15792</v>
      </c>
      <c r="J5" s="194">
        <f>Cashflows!J25</f>
        <v>-30163</v>
      </c>
      <c r="K5" s="195">
        <f>Cashflows!K25</f>
        <v>-85133</v>
      </c>
      <c r="L5" s="194">
        <f>Cashflows!L25</f>
        <v>-23267</v>
      </c>
      <c r="M5" s="194">
        <f>Cashflows!M25</f>
        <v>-30008</v>
      </c>
      <c r="N5" s="194">
        <f>Cashflows!N25</f>
        <v>-20999</v>
      </c>
      <c r="O5" s="194">
        <f>Cashflows!O25</f>
        <v>-47928</v>
      </c>
      <c r="P5" s="196">
        <f>Cashflows!P25</f>
        <v>-122203</v>
      </c>
      <c r="Q5" s="194">
        <f>Cashflows!Q25</f>
        <v>-7413</v>
      </c>
      <c r="R5" s="194">
        <f>Cashflows!R25</f>
        <v>-18880</v>
      </c>
      <c r="S5" s="194">
        <f>Cashflows!S25</f>
        <v>-60627</v>
      </c>
      <c r="T5" s="194">
        <f>Cashflows!T25</f>
        <v>-30064</v>
      </c>
      <c r="U5" s="196">
        <f>Cashflows!U25</f>
        <v>-116984</v>
      </c>
      <c r="V5" s="194">
        <f>Cashflows!V25</f>
        <v>-13292</v>
      </c>
      <c r="W5" s="194">
        <f>Cashflows!W25</f>
        <v>-28812</v>
      </c>
      <c r="X5" s="194">
        <f>Cashflows!X25</f>
        <v>-27239</v>
      </c>
      <c r="Y5" s="194">
        <f>Cashflows!Y25</f>
        <v>-13373</v>
      </c>
      <c r="Z5" s="196">
        <f>Cashflows!Z25</f>
        <v>-82716</v>
      </c>
      <c r="AA5" s="194">
        <f>Cashflows!AA25</f>
        <v>-11258</v>
      </c>
      <c r="AB5" s="194">
        <f>Cashflows!AB25</f>
        <v>-29471</v>
      </c>
      <c r="AC5" s="194">
        <f>Cashflows!AC25</f>
        <v>-16308</v>
      </c>
      <c r="AD5" s="194">
        <f>Cashflows!AD25</f>
        <v>-10250</v>
      </c>
      <c r="AE5" s="196">
        <f>Cashflows!AE25</f>
        <v>-67287</v>
      </c>
      <c r="AF5" s="194">
        <f>Cashflows!AF25</f>
        <v>-11953</v>
      </c>
      <c r="AG5" s="194">
        <f>Cashflows!AG25</f>
        <v>-15663</v>
      </c>
      <c r="AH5" s="194">
        <f>Cashflows!AH25</f>
        <v>-16767</v>
      </c>
      <c r="AI5" s="194">
        <f>Cashflows!AI25</f>
        <v>-10600</v>
      </c>
      <c r="AJ5" s="196">
        <f>Cashflows!AJ25</f>
        <v>-54983</v>
      </c>
      <c r="AK5" s="194">
        <f>Cashflows!AK25</f>
        <v>-10857</v>
      </c>
      <c r="AL5" s="194">
        <f>Cashflows!AL25</f>
        <v>-21937</v>
      </c>
      <c r="AM5" s="194">
        <f>Cashflows!AM25</f>
        <v>-16161</v>
      </c>
      <c r="AN5" s="194">
        <f>Cashflows!AN25</f>
        <v>-35841</v>
      </c>
      <c r="AO5" s="196">
        <f>Cashflows!AO25</f>
        <v>-84796</v>
      </c>
    </row>
    <row r="6" spans="1:41" ht="15" hidden="1" customHeight="1" outlineLevel="1" x14ac:dyDescent="0.25">
      <c r="A6" s="151" t="s">
        <v>167</v>
      </c>
      <c r="B6" s="197"/>
      <c r="C6" s="197"/>
      <c r="D6" s="197"/>
      <c r="E6" s="197"/>
      <c r="F6" s="198"/>
      <c r="G6" s="197"/>
      <c r="H6" s="197"/>
      <c r="I6" s="197"/>
      <c r="J6" s="197"/>
      <c r="K6" s="198"/>
      <c r="L6" s="197"/>
      <c r="M6" s="197"/>
      <c r="N6" s="197"/>
      <c r="O6" s="197"/>
      <c r="P6" s="199"/>
      <c r="Q6" s="197"/>
      <c r="R6" s="197"/>
      <c r="S6" s="197"/>
      <c r="T6" s="197"/>
      <c r="U6" s="199"/>
      <c r="V6" s="197"/>
      <c r="W6" s="197"/>
      <c r="X6" s="197"/>
      <c r="Y6" s="197"/>
      <c r="Z6" s="199"/>
      <c r="AA6" s="197"/>
      <c r="AB6" s="197"/>
      <c r="AC6" s="197"/>
      <c r="AD6" s="197"/>
      <c r="AE6" s="199"/>
      <c r="AF6" s="197"/>
      <c r="AG6" s="197"/>
      <c r="AH6" s="197"/>
      <c r="AI6" s="197"/>
      <c r="AJ6" s="199"/>
      <c r="AK6" s="194"/>
      <c r="AL6" s="197"/>
      <c r="AM6" s="197"/>
      <c r="AN6" s="197"/>
      <c r="AO6" s="199"/>
    </row>
    <row r="7" spans="1:41" collapsed="1" x14ac:dyDescent="0.25">
      <c r="A7" s="151" t="s">
        <v>145</v>
      </c>
      <c r="B7" s="200">
        <f>Cashflows!B26</f>
        <v>-1334</v>
      </c>
      <c r="C7" s="200">
        <f>Cashflows!C26</f>
        <v>11282</v>
      </c>
      <c r="D7" s="200">
        <f>Cashflows!D26</f>
        <v>-2551</v>
      </c>
      <c r="E7" s="200">
        <f>Cashflows!E26</f>
        <v>-6269</v>
      </c>
      <c r="F7" s="201">
        <f>Cashflows!F26</f>
        <v>1128</v>
      </c>
      <c r="G7" s="200">
        <f>Cashflows!G26</f>
        <v>1507</v>
      </c>
      <c r="H7" s="200">
        <f>Cashflows!H26</f>
        <v>3178</v>
      </c>
      <c r="I7" s="200">
        <f>Cashflows!I26</f>
        <v>-4115</v>
      </c>
      <c r="J7" s="200">
        <f>Cashflows!J26</f>
        <v>7182</v>
      </c>
      <c r="K7" s="201">
        <f>Cashflows!K26</f>
        <v>7752</v>
      </c>
      <c r="L7" s="200">
        <f>Cashflows!L26</f>
        <v>-4939</v>
      </c>
      <c r="M7" s="200">
        <f>Cashflows!M26</f>
        <v>2953</v>
      </c>
      <c r="N7" s="200">
        <f>Cashflows!N26</f>
        <v>-6774</v>
      </c>
      <c r="O7" s="200">
        <f>Cashflows!O26</f>
        <v>22452</v>
      </c>
      <c r="P7" s="202">
        <f>Cashflows!P26</f>
        <v>13692</v>
      </c>
      <c r="Q7" s="200">
        <f>Cashflows!Q26</f>
        <v>-25154</v>
      </c>
      <c r="R7" s="200">
        <f>Cashflows!R26</f>
        <v>1033</v>
      </c>
      <c r="S7" s="200">
        <f>Cashflows!S26</f>
        <v>30971</v>
      </c>
      <c r="T7" s="200">
        <f>Cashflows!T26</f>
        <v>-15344</v>
      </c>
      <c r="U7" s="202">
        <f>Cashflows!U26</f>
        <v>-8494</v>
      </c>
      <c r="V7" s="200">
        <f>Cashflows!V26</f>
        <v>-10392</v>
      </c>
      <c r="W7" s="200">
        <f>Cashflows!W26</f>
        <v>-3980</v>
      </c>
      <c r="X7" s="200">
        <f>Cashflows!X26</f>
        <v>3295</v>
      </c>
      <c r="Y7" s="200">
        <f>Cashflows!Y26</f>
        <v>-4147</v>
      </c>
      <c r="Z7" s="202">
        <f>Cashflows!Z26</f>
        <v>-15224</v>
      </c>
      <c r="AA7" s="200">
        <f>Cashflows!AA26</f>
        <v>-479</v>
      </c>
      <c r="AB7" s="200">
        <f>Cashflows!AB26</f>
        <v>10939</v>
      </c>
      <c r="AC7" s="200">
        <f>Cashflows!AC26</f>
        <v>3410</v>
      </c>
      <c r="AD7" s="200">
        <f>Cashflows!AD26</f>
        <v>-12052</v>
      </c>
      <c r="AE7" s="202">
        <f>Cashflows!AE26</f>
        <v>1818</v>
      </c>
      <c r="AF7" s="200">
        <f>Cashflows!AF26</f>
        <v>-1827</v>
      </c>
      <c r="AG7" s="200">
        <f>Cashflows!AG26</f>
        <v>2535</v>
      </c>
      <c r="AH7" s="200">
        <f>Cashflows!AH26</f>
        <v>810</v>
      </c>
      <c r="AI7" s="200">
        <f>Cashflows!AI26</f>
        <v>455</v>
      </c>
      <c r="AJ7" s="202">
        <f>Cashflows!AJ26</f>
        <v>1973</v>
      </c>
      <c r="AK7" s="194">
        <f>Cashflows!AK26</f>
        <v>5293</v>
      </c>
      <c r="AL7" s="200">
        <f>Cashflows!AL26</f>
        <v>6485</v>
      </c>
      <c r="AM7" s="200">
        <f>Cashflows!AM26</f>
        <v>-4146</v>
      </c>
      <c r="AN7" s="200">
        <f>Cashflows!AN26</f>
        <v>21319</v>
      </c>
      <c r="AO7" s="202">
        <f>Cashflows!AO26</f>
        <v>28951</v>
      </c>
    </row>
    <row r="8" spans="1:41" ht="15" customHeight="1" x14ac:dyDescent="0.25">
      <c r="A8" s="154" t="s">
        <v>168</v>
      </c>
      <c r="B8" s="203">
        <f t="shared" ref="B8:F8" si="0">SUM(B4:B7)</f>
        <v>28145</v>
      </c>
      <c r="C8" s="203">
        <f t="shared" si="0"/>
        <v>-6410</v>
      </c>
      <c r="D8" s="203">
        <f t="shared" si="0"/>
        <v>-6565</v>
      </c>
      <c r="E8" s="203">
        <f t="shared" si="0"/>
        <v>47501</v>
      </c>
      <c r="F8" s="204">
        <f t="shared" si="0"/>
        <v>62671</v>
      </c>
      <c r="G8" s="203">
        <f t="shared" ref="G8:K8" si="1">SUM(G4:G7)</f>
        <v>6799.4307062480002</v>
      </c>
      <c r="H8" s="203">
        <f t="shared" si="1"/>
        <v>-3112</v>
      </c>
      <c r="I8" s="203">
        <f t="shared" si="1"/>
        <v>23724</v>
      </c>
      <c r="J8" s="203">
        <f t="shared" si="1"/>
        <v>48677</v>
      </c>
      <c r="K8" s="204">
        <f t="shared" si="1"/>
        <v>76088</v>
      </c>
      <c r="L8" s="203">
        <f>SUM(L4:L7)</f>
        <v>16032</v>
      </c>
      <c r="M8" s="203">
        <f t="shared" ref="M8:P8" si="2">SUM(M4:M7)</f>
        <v>33436</v>
      </c>
      <c r="N8" s="203">
        <f t="shared" si="2"/>
        <v>33954</v>
      </c>
      <c r="O8" s="203">
        <f t="shared" si="2"/>
        <v>53526</v>
      </c>
      <c r="P8" s="205">
        <f t="shared" si="2"/>
        <v>136947</v>
      </c>
      <c r="Q8" s="203">
        <f>SUM(Q4:Q7)</f>
        <v>51960</v>
      </c>
      <c r="R8" s="203">
        <f>SUM(R4:R7)</f>
        <v>22494</v>
      </c>
      <c r="S8" s="203">
        <f>SUM(S4:S7)</f>
        <v>20600</v>
      </c>
      <c r="T8" s="203">
        <f t="shared" ref="T8:U8" si="3">SUM(T4:T7)</f>
        <v>40192</v>
      </c>
      <c r="U8" s="205">
        <f t="shared" si="3"/>
        <v>135248</v>
      </c>
      <c r="V8" s="203">
        <f>SUM(V4:V7)</f>
        <v>43536</v>
      </c>
      <c r="W8" s="203">
        <f>SUM(W4:W7)</f>
        <v>20172</v>
      </c>
      <c r="X8" s="203">
        <f>SUM(X4:X7)</f>
        <v>19345</v>
      </c>
      <c r="Y8" s="203">
        <f t="shared" ref="Y8:Z8" si="4">SUM(Y4:Y7)</f>
        <v>41839</v>
      </c>
      <c r="Z8" s="205">
        <f t="shared" si="4"/>
        <v>124892</v>
      </c>
      <c r="AA8" s="203">
        <f>SUM(AA4:AA7)</f>
        <v>45006</v>
      </c>
      <c r="AB8" s="203">
        <f>SUM(AB4:AB7)</f>
        <v>14845</v>
      </c>
      <c r="AC8" s="203">
        <f>SUM(AC4:AC7)</f>
        <v>38258</v>
      </c>
      <c r="AD8" s="203">
        <f t="shared" ref="AD8:AE8" si="5">SUM(AD4:AD7)</f>
        <v>21778</v>
      </c>
      <c r="AE8" s="205">
        <f t="shared" si="5"/>
        <v>119887</v>
      </c>
      <c r="AF8" s="203">
        <f>SUM(AF4:AF7)</f>
        <v>63582</v>
      </c>
      <c r="AG8" s="203">
        <f>SUM(AG4:AG7)</f>
        <v>13232</v>
      </c>
      <c r="AH8" s="203">
        <f t="shared" ref="AH8:AJ8" si="6">SUM(AH4:AH7)</f>
        <v>35222</v>
      </c>
      <c r="AI8" s="203">
        <f t="shared" si="6"/>
        <v>55867</v>
      </c>
      <c r="AJ8" s="205">
        <f t="shared" si="6"/>
        <v>167903</v>
      </c>
      <c r="AK8" s="191">
        <f>SUM(AK4:AK7)</f>
        <v>69366</v>
      </c>
      <c r="AL8" s="203">
        <f>SUM(AL4:AL7)</f>
        <v>-1480</v>
      </c>
      <c r="AM8" s="203">
        <f t="shared" ref="AM8:AO8" si="7">SUM(AM4:AM7)</f>
        <v>21321</v>
      </c>
      <c r="AN8" s="203">
        <f t="shared" si="7"/>
        <v>110933</v>
      </c>
      <c r="AO8" s="205">
        <f t="shared" si="7"/>
        <v>200140</v>
      </c>
    </row>
    <row r="9" spans="1:41" ht="15" customHeight="1" x14ac:dyDescent="0.25">
      <c r="F9" s="206"/>
      <c r="K9" s="206"/>
      <c r="P9" s="207"/>
      <c r="U9" s="207"/>
      <c r="Z9" s="207"/>
      <c r="AE9" s="207"/>
      <c r="AJ9" s="207"/>
      <c r="AO9" s="207"/>
    </row>
    <row r="10" spans="1:41" ht="15" customHeight="1" x14ac:dyDescent="0.25">
      <c r="A10" s="12" t="s">
        <v>169</v>
      </c>
    </row>
    <row r="11" spans="1:41" ht="15" customHeight="1" x14ac:dyDescent="0.25">
      <c r="A11" s="208"/>
    </row>
    <row r="12" spans="1:41" ht="15" customHeight="1" x14ac:dyDescent="0.25">
      <c r="AJ12" s="209"/>
      <c r="AO12" s="209"/>
    </row>
    <row r="13" spans="1:41" ht="15" customHeight="1" x14ac:dyDescent="0.25"/>
    <row r="14" spans="1:41" ht="15" customHeight="1" x14ac:dyDescent="0.25"/>
    <row r="15" spans="1:41" ht="15" customHeight="1" x14ac:dyDescent="0.25"/>
    <row r="16" spans="1:41"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O103"/>
  <sheetViews>
    <sheetView showGridLines="0" zoomScale="80" zoomScaleNormal="80" workbookViewId="0">
      <pane xSplit="11" topLeftCell="L1" activePane="topRight" state="frozen"/>
      <selection pane="topRight" activeCell="AN47" sqref="AN47"/>
    </sheetView>
  </sheetViews>
  <sheetFormatPr defaultColWidth="12.6640625" defaultRowHeight="13.2" outlineLevelCol="1" x14ac:dyDescent="0.25"/>
  <cols>
    <col min="1" max="1" width="27.77734375" style="2" customWidth="1"/>
    <col min="2" max="11" width="12.6640625" style="2" hidden="1" customWidth="1" outlineLevel="1"/>
    <col min="12" max="13" width="12.6640625" style="2" hidden="1" customWidth="1" outlineLevel="1" collapsed="1"/>
    <col min="14" max="16" width="12.6640625" style="2" hidden="1" customWidth="1" outlineLevel="1"/>
    <col min="17" max="17" width="12.6640625" style="2" hidden="1" customWidth="1" outlineLevel="1" collapsed="1"/>
    <col min="18" max="18" width="12.6640625" style="2" hidden="1" customWidth="1" outlineLevel="1"/>
    <col min="19" max="26" width="0" style="2" hidden="1" customWidth="1" outlineLevel="1"/>
    <col min="27" max="27" width="0" style="2" hidden="1" customWidth="1" collapsed="1"/>
    <col min="28" max="28" width="0" style="2" hidden="1" customWidth="1"/>
    <col min="29" max="30" width="12.6640625" style="2"/>
    <col min="31" max="31" width="14" style="2" bestFit="1" customWidth="1"/>
    <col min="32" max="32" width="12.6640625" style="2" customWidth="1"/>
    <col min="33" max="35" width="12.6640625" style="2"/>
    <col min="36" max="36" width="14" style="2" bestFit="1" customWidth="1"/>
    <col min="37" max="37" width="12.6640625" style="2" customWidth="1"/>
    <col min="38" max="40" width="12.6640625" style="2"/>
    <col min="41" max="41" width="14" style="2" bestFit="1" customWidth="1"/>
    <col min="42" max="16384" width="12.6640625" style="2"/>
  </cols>
  <sheetData>
    <row r="1" spans="1:41" x14ac:dyDescent="0.25">
      <c r="A1" s="10" t="s">
        <v>170</v>
      </c>
    </row>
    <row r="2" spans="1:41" x14ac:dyDescent="0.25">
      <c r="A2" s="5" t="s">
        <v>4</v>
      </c>
    </row>
    <row r="3" spans="1:41" ht="24" customHeight="1" x14ac:dyDescent="0.25">
      <c r="A3" s="13"/>
      <c r="B3" s="14" t="s">
        <v>61</v>
      </c>
      <c r="C3" s="14" t="s">
        <v>62</v>
      </c>
      <c r="D3" s="14" t="s">
        <v>63</v>
      </c>
      <c r="E3" s="14" t="s">
        <v>64</v>
      </c>
      <c r="F3" s="15" t="s">
        <v>65</v>
      </c>
      <c r="G3" s="14" t="s">
        <v>66</v>
      </c>
      <c r="H3" s="14" t="s">
        <v>67</v>
      </c>
      <c r="I3" s="14" t="s">
        <v>68</v>
      </c>
      <c r="J3" s="14" t="s">
        <v>69</v>
      </c>
      <c r="K3" s="15" t="s">
        <v>70</v>
      </c>
      <c r="L3" s="14" t="s">
        <v>71</v>
      </c>
      <c r="M3" s="14" t="s">
        <v>72</v>
      </c>
      <c r="N3" s="14" t="s">
        <v>73</v>
      </c>
      <c r="O3" s="14" t="s">
        <v>74</v>
      </c>
      <c r="P3" s="115" t="s">
        <v>75</v>
      </c>
      <c r="Q3" s="14" t="s">
        <v>76</v>
      </c>
      <c r="R3" s="14" t="s">
        <v>77</v>
      </c>
      <c r="S3" s="14" t="s">
        <v>78</v>
      </c>
      <c r="T3" s="14" t="s">
        <v>79</v>
      </c>
      <c r="U3" s="115" t="s">
        <v>80</v>
      </c>
      <c r="V3" s="14" t="s">
        <v>81</v>
      </c>
      <c r="W3" s="14" t="s">
        <v>82</v>
      </c>
      <c r="X3" s="14" t="s">
        <v>83</v>
      </c>
      <c r="Y3" s="14" t="s">
        <v>84</v>
      </c>
      <c r="Z3" s="115" t="s">
        <v>85</v>
      </c>
      <c r="AA3" s="14" t="s">
        <v>86</v>
      </c>
      <c r="AB3" s="14" t="s">
        <v>87</v>
      </c>
      <c r="AC3" s="14" t="s">
        <v>88</v>
      </c>
      <c r="AD3" s="14" t="s">
        <v>89</v>
      </c>
      <c r="AE3" s="115" t="s">
        <v>90</v>
      </c>
      <c r="AF3" s="14" t="s">
        <v>91</v>
      </c>
      <c r="AG3" s="14" t="s">
        <v>92</v>
      </c>
      <c r="AH3" s="14" t="s">
        <v>93</v>
      </c>
      <c r="AI3" s="14" t="s">
        <v>94</v>
      </c>
      <c r="AJ3" s="115" t="s">
        <v>95</v>
      </c>
      <c r="AK3" s="14" t="s">
        <v>96</v>
      </c>
      <c r="AL3" s="14" t="s">
        <v>97</v>
      </c>
      <c r="AM3" s="14" t="s">
        <v>98</v>
      </c>
      <c r="AN3" s="14" t="s">
        <v>99</v>
      </c>
      <c r="AO3" s="115" t="s">
        <v>100</v>
      </c>
    </row>
    <row r="4" spans="1:41" ht="15" customHeight="1" x14ac:dyDescent="0.25">
      <c r="A4" s="1" t="s">
        <v>171</v>
      </c>
      <c r="F4" s="9"/>
      <c r="K4" s="9"/>
      <c r="P4" s="137"/>
      <c r="U4" s="137"/>
      <c r="Z4" s="137"/>
      <c r="AA4" s="152">
        <f>'P&amp;L'!AA11</f>
        <v>172206</v>
      </c>
      <c r="AB4" s="152">
        <f>'P&amp;L'!AB11</f>
        <v>146002</v>
      </c>
      <c r="AC4" s="152">
        <f>'P&amp;L'!AC11</f>
        <v>151336</v>
      </c>
      <c r="AD4" s="152">
        <f>'P&amp;L'!AD11</f>
        <v>218474</v>
      </c>
      <c r="AE4" s="147">
        <f>'P&amp;L'!AE11</f>
        <v>688018</v>
      </c>
      <c r="AF4" s="152">
        <f>'P&amp;L'!AF11</f>
        <v>178698</v>
      </c>
      <c r="AG4" s="152">
        <f>'P&amp;L'!AG11</f>
        <v>182869</v>
      </c>
      <c r="AH4" s="152">
        <f>'P&amp;L'!AH11</f>
        <v>176026</v>
      </c>
      <c r="AI4" s="152">
        <f>'P&amp;L'!AI11</f>
        <v>244351</v>
      </c>
      <c r="AJ4" s="147">
        <f>'P&amp;L'!AJ11</f>
        <v>781944</v>
      </c>
      <c r="AK4" s="152">
        <v>184024</v>
      </c>
      <c r="AL4" s="152">
        <f>'P&amp;L'!AL11</f>
        <v>184975</v>
      </c>
      <c r="AM4" s="152">
        <f>'P&amp;L'!AM11</f>
        <v>179607</v>
      </c>
      <c r="AN4" s="152">
        <f>'P&amp;L'!AN11</f>
        <v>246594</v>
      </c>
      <c r="AO4" s="147">
        <f>'P&amp;L'!AO11</f>
        <v>795200</v>
      </c>
    </row>
    <row r="5" spans="1:41" ht="15" customHeight="1" x14ac:dyDescent="0.25">
      <c r="A5" s="151" t="s">
        <v>172</v>
      </c>
      <c r="F5" s="9"/>
      <c r="K5" s="9"/>
      <c r="P5" s="137"/>
      <c r="U5" s="137"/>
      <c r="Z5" s="137"/>
      <c r="AA5" s="152">
        <f>-'P&amp;L'!AA9</f>
        <v>33806</v>
      </c>
      <c r="AB5" s="152">
        <f>-'P&amp;L'!AB9</f>
        <v>33914</v>
      </c>
      <c r="AC5" s="152">
        <f>-'P&amp;L'!AC9</f>
        <v>34608</v>
      </c>
      <c r="AD5" s="152">
        <f>-'P&amp;L'!AD9</f>
        <v>34700</v>
      </c>
      <c r="AE5" s="148">
        <f>-'P&amp;L'!AE9</f>
        <v>137028</v>
      </c>
      <c r="AF5" s="152">
        <f>-'P&amp;L'!AF9</f>
        <v>34712</v>
      </c>
      <c r="AG5" s="152">
        <f>-'P&amp;L'!AG9</f>
        <v>37364</v>
      </c>
      <c r="AH5" s="152">
        <f>-'P&amp;L'!AH9</f>
        <v>34935</v>
      </c>
      <c r="AI5" s="152">
        <f>-'P&amp;L'!AI9</f>
        <v>31840</v>
      </c>
      <c r="AJ5" s="148">
        <f>-'P&amp;L'!AJ9</f>
        <v>138851</v>
      </c>
      <c r="AK5" s="152">
        <v>32893</v>
      </c>
      <c r="AL5" s="152">
        <f>-'P&amp;L'!AL9</f>
        <v>29550</v>
      </c>
      <c r="AM5" s="152">
        <f>-'P&amp;L'!AM9</f>
        <v>33771</v>
      </c>
      <c r="AN5" s="152">
        <f>-'P&amp;L'!AN9</f>
        <v>36810</v>
      </c>
      <c r="AO5" s="148">
        <f>-'P&amp;L'!AO9</f>
        <v>133024</v>
      </c>
    </row>
    <row r="6" spans="1:41" ht="15" customHeight="1" thickBot="1" x14ac:dyDescent="0.3">
      <c r="A6" s="154" t="s">
        <v>173</v>
      </c>
      <c r="B6" s="79"/>
      <c r="C6" s="79"/>
      <c r="D6" s="79"/>
      <c r="E6" s="79"/>
      <c r="F6" s="83"/>
      <c r="G6" s="79"/>
      <c r="H6" s="79"/>
      <c r="I6" s="79"/>
      <c r="J6" s="79"/>
      <c r="K6" s="83"/>
      <c r="L6" s="79"/>
      <c r="M6" s="79"/>
      <c r="N6" s="79"/>
      <c r="O6" s="79"/>
      <c r="P6" s="139"/>
      <c r="Q6" s="79"/>
      <c r="R6" s="79"/>
      <c r="S6" s="79"/>
      <c r="T6" s="79"/>
      <c r="U6" s="139"/>
      <c r="V6" s="79"/>
      <c r="W6" s="79"/>
      <c r="X6" s="79"/>
      <c r="Y6" s="79"/>
      <c r="Z6" s="139"/>
      <c r="AA6" s="79">
        <f>AA4+AA5</f>
        <v>206012</v>
      </c>
      <c r="AB6" s="79">
        <f>AB4+AB5</f>
        <v>179916</v>
      </c>
      <c r="AC6" s="79">
        <f>AC4+AC5</f>
        <v>185944</v>
      </c>
      <c r="AD6" s="79">
        <f>AD4+AD5</f>
        <v>253174</v>
      </c>
      <c r="AE6" s="139">
        <f>AE4+AE5</f>
        <v>825046</v>
      </c>
      <c r="AF6" s="79">
        <f t="shared" ref="AF6:AH6" si="0">AF4+AF5</f>
        <v>213410</v>
      </c>
      <c r="AG6" s="79">
        <f t="shared" si="0"/>
        <v>220233</v>
      </c>
      <c r="AH6" s="79">
        <f t="shared" si="0"/>
        <v>210961</v>
      </c>
      <c r="AI6" s="79">
        <f>AI4+AI5</f>
        <v>276191</v>
      </c>
      <c r="AJ6" s="139">
        <f>AJ4+AJ5</f>
        <v>920795</v>
      </c>
      <c r="AK6" s="79">
        <f>AK4+AK5</f>
        <v>216917</v>
      </c>
      <c r="AL6" s="79">
        <f>AL4+AL5</f>
        <v>214525</v>
      </c>
      <c r="AM6" s="79">
        <f t="shared" ref="AM6" si="1">AM4+AM5</f>
        <v>213378</v>
      </c>
      <c r="AN6" s="79">
        <f>AN4+AN5</f>
        <v>283404</v>
      </c>
      <c r="AO6" s="139">
        <f>AO4+AO5</f>
        <v>928224</v>
      </c>
    </row>
    <row r="7" spans="1:41" ht="13.8" thickTop="1" x14ac:dyDescent="0.25">
      <c r="B7" s="32"/>
      <c r="C7" s="32"/>
      <c r="D7" s="32"/>
      <c r="E7" s="32"/>
      <c r="F7" s="80"/>
      <c r="G7" s="32"/>
      <c r="H7" s="32"/>
      <c r="I7" s="32"/>
      <c r="J7" s="32"/>
      <c r="K7" s="80"/>
      <c r="L7" s="32"/>
      <c r="M7" s="32"/>
      <c r="N7" s="32"/>
      <c r="O7" s="32"/>
      <c r="P7" s="133"/>
      <c r="Q7" s="32"/>
      <c r="R7" s="32"/>
      <c r="S7" s="32"/>
      <c r="T7" s="32"/>
      <c r="U7" s="133"/>
      <c r="V7" s="32"/>
      <c r="W7" s="32"/>
      <c r="X7" s="32"/>
      <c r="Y7" s="32"/>
      <c r="Z7" s="133"/>
      <c r="AA7" s="32"/>
      <c r="AB7" s="32"/>
      <c r="AC7" s="32"/>
      <c r="AD7" s="32"/>
      <c r="AE7" s="160"/>
      <c r="AF7" s="32"/>
      <c r="AG7" s="32"/>
      <c r="AH7" s="32"/>
      <c r="AI7" s="32"/>
      <c r="AJ7" s="160"/>
      <c r="AK7" s="32"/>
      <c r="AL7" s="32"/>
      <c r="AM7" s="32"/>
      <c r="AN7" s="32"/>
      <c r="AO7" s="160"/>
    </row>
    <row r="8" spans="1:41" ht="24" hidden="1" customHeight="1" x14ac:dyDescent="0.25">
      <c r="A8" s="13" t="s">
        <v>174</v>
      </c>
      <c r="B8" s="14" t="s">
        <v>61</v>
      </c>
      <c r="C8" s="14" t="s">
        <v>62</v>
      </c>
      <c r="D8" s="14" t="s">
        <v>63</v>
      </c>
      <c r="E8" s="14" t="s">
        <v>64</v>
      </c>
      <c r="F8" s="15" t="s">
        <v>65</v>
      </c>
      <c r="G8" s="14" t="s">
        <v>66</v>
      </c>
      <c r="H8" s="14" t="s">
        <v>67</v>
      </c>
      <c r="I8" s="14" t="s">
        <v>68</v>
      </c>
      <c r="J8" s="14" t="s">
        <v>69</v>
      </c>
      <c r="K8" s="15" t="s">
        <v>70</v>
      </c>
      <c r="L8" s="14" t="s">
        <v>71</v>
      </c>
      <c r="M8" s="14" t="s">
        <v>72</v>
      </c>
      <c r="N8" s="14" t="s">
        <v>73</v>
      </c>
      <c r="O8" s="14" t="s">
        <v>74</v>
      </c>
      <c r="P8" s="115" t="s">
        <v>75</v>
      </c>
      <c r="Q8" s="14" t="s">
        <v>76</v>
      </c>
      <c r="R8" s="14" t="s">
        <v>77</v>
      </c>
      <c r="S8" s="14" t="s">
        <v>78</v>
      </c>
      <c r="T8" s="14" t="s">
        <v>79</v>
      </c>
      <c r="U8" s="115" t="s">
        <v>80</v>
      </c>
      <c r="V8" s="14" t="s">
        <v>81</v>
      </c>
      <c r="W8" s="14" t="s">
        <v>82</v>
      </c>
      <c r="X8" s="14" t="s">
        <v>83</v>
      </c>
      <c r="Y8" s="14" t="s">
        <v>84</v>
      </c>
      <c r="Z8" s="115" t="s">
        <v>85</v>
      </c>
      <c r="AA8" s="14" t="s">
        <v>86</v>
      </c>
      <c r="AB8" s="14" t="s">
        <v>87</v>
      </c>
      <c r="AC8" s="14" t="s">
        <v>88</v>
      </c>
      <c r="AD8" s="14" t="s">
        <v>89</v>
      </c>
      <c r="AE8" s="115" t="s">
        <v>90</v>
      </c>
      <c r="AF8" s="14" t="s">
        <v>91</v>
      </c>
      <c r="AG8" s="14" t="s">
        <v>92</v>
      </c>
      <c r="AH8" s="14" t="s">
        <v>93</v>
      </c>
      <c r="AM8" s="14" t="s">
        <v>93</v>
      </c>
      <c r="AN8" s="14"/>
    </row>
    <row r="9" spans="1:41" ht="15" hidden="1" customHeight="1" x14ac:dyDescent="0.25">
      <c r="A9" s="1" t="s">
        <v>1</v>
      </c>
      <c r="F9" s="9"/>
      <c r="K9" s="9"/>
      <c r="P9" s="100"/>
      <c r="U9" s="100"/>
      <c r="Z9" s="100"/>
      <c r="AE9" s="100"/>
    </row>
    <row r="10" spans="1:41" ht="15" hidden="1" customHeight="1" x14ac:dyDescent="0.25">
      <c r="A10" s="132" t="s">
        <v>175</v>
      </c>
      <c r="B10" s="32">
        <v>100624</v>
      </c>
      <c r="C10" s="32">
        <v>110872</v>
      </c>
      <c r="D10" s="32">
        <v>124024</v>
      </c>
      <c r="E10" s="32">
        <v>170133</v>
      </c>
      <c r="F10" s="80">
        <v>505653</v>
      </c>
      <c r="G10" s="32">
        <v>147174</v>
      </c>
      <c r="H10" s="32">
        <v>156522</v>
      </c>
      <c r="I10" s="32">
        <v>160739</v>
      </c>
      <c r="J10" s="32">
        <v>266438</v>
      </c>
      <c r="K10" s="80">
        <v>730873</v>
      </c>
      <c r="L10" s="32">
        <v>208013</v>
      </c>
      <c r="M10" s="32">
        <v>229392</v>
      </c>
      <c r="N10" s="32">
        <v>228326</v>
      </c>
      <c r="O10" s="32">
        <v>324696</v>
      </c>
      <c r="P10" s="133">
        <v>990424</v>
      </c>
      <c r="Q10" s="32">
        <v>212695</v>
      </c>
      <c r="R10" s="32">
        <v>212781</v>
      </c>
      <c r="S10" s="32">
        <v>211247</v>
      </c>
      <c r="T10" s="32">
        <v>317350</v>
      </c>
      <c r="U10" s="133">
        <v>954073</v>
      </c>
      <c r="V10" s="32">
        <v>217993</v>
      </c>
      <c r="W10" s="32">
        <v>213974</v>
      </c>
      <c r="X10" s="32">
        <v>213937</v>
      </c>
      <c r="Y10" s="32">
        <v>306250</v>
      </c>
      <c r="Z10" s="133">
        <v>952154</v>
      </c>
      <c r="AA10" s="32">
        <v>191745</v>
      </c>
      <c r="AB10" s="32">
        <v>185674</v>
      </c>
      <c r="AC10" s="32">
        <v>204618</v>
      </c>
      <c r="AD10" s="32">
        <v>312817</v>
      </c>
      <c r="AE10" s="133">
        <v>894854</v>
      </c>
      <c r="AF10" s="32">
        <v>203900</v>
      </c>
      <c r="AG10" s="32">
        <v>221227</v>
      </c>
      <c r="AH10" s="32">
        <v>204428</v>
      </c>
      <c r="AM10" s="32">
        <v>204428</v>
      </c>
      <c r="AN10" s="32"/>
    </row>
    <row r="11" spans="1:41" ht="15" hidden="1" customHeight="1" x14ac:dyDescent="0.25">
      <c r="A11" s="132" t="s">
        <v>176</v>
      </c>
      <c r="B11" s="39">
        <v>132208</v>
      </c>
      <c r="C11" s="39">
        <v>126807</v>
      </c>
      <c r="D11" s="39">
        <v>137185</v>
      </c>
      <c r="E11" s="39">
        <v>144905</v>
      </c>
      <c r="F11" s="50">
        <v>541105</v>
      </c>
      <c r="G11" s="39">
        <v>159405</v>
      </c>
      <c r="H11" s="39">
        <v>153899</v>
      </c>
      <c r="I11" s="39">
        <v>157921</v>
      </c>
      <c r="J11" s="39">
        <v>189298</v>
      </c>
      <c r="K11" s="50">
        <v>660523</v>
      </c>
      <c r="L11" s="39">
        <v>189092</v>
      </c>
      <c r="M11" s="39">
        <v>191682</v>
      </c>
      <c r="N11" s="39">
        <v>207168</v>
      </c>
      <c r="O11" s="39">
        <v>221019</v>
      </c>
      <c r="P11" s="134">
        <v>808961</v>
      </c>
      <c r="Q11" s="39">
        <v>222611</v>
      </c>
      <c r="R11" s="39">
        <v>201080</v>
      </c>
      <c r="S11" s="39">
        <v>195230</v>
      </c>
      <c r="T11" s="39">
        <v>220904</v>
      </c>
      <c r="U11" s="134">
        <v>839825</v>
      </c>
      <c r="V11" s="39">
        <v>209643</v>
      </c>
      <c r="W11" s="39">
        <v>194359</v>
      </c>
      <c r="X11" s="39">
        <v>185556</v>
      </c>
      <c r="Y11" s="39">
        <v>216639</v>
      </c>
      <c r="Z11" s="134">
        <v>806197</v>
      </c>
      <c r="AA11" s="39">
        <v>190114</v>
      </c>
      <c r="AB11" s="39">
        <v>159621</v>
      </c>
      <c r="AC11" s="39">
        <v>167800</v>
      </c>
      <c r="AD11" s="39">
        <v>232137</v>
      </c>
      <c r="AE11" s="134">
        <v>749672</v>
      </c>
      <c r="AF11" s="39">
        <v>212096</v>
      </c>
      <c r="AG11" s="39">
        <v>209303</v>
      </c>
      <c r="AH11" s="39">
        <v>188354</v>
      </c>
      <c r="AM11" s="39">
        <v>188354</v>
      </c>
      <c r="AN11" s="39"/>
    </row>
    <row r="12" spans="1:41" ht="15" hidden="1" customHeight="1" x14ac:dyDescent="0.25">
      <c r="A12" s="132" t="s">
        <v>177</v>
      </c>
      <c r="B12" s="41">
        <v>61340</v>
      </c>
      <c r="C12" s="41">
        <v>61627</v>
      </c>
      <c r="D12" s="41">
        <v>71465</v>
      </c>
      <c r="E12" s="41">
        <v>81980</v>
      </c>
      <c r="F12" s="53">
        <v>276411</v>
      </c>
      <c r="G12" s="41">
        <v>94674</v>
      </c>
      <c r="H12" s="41">
        <v>96780</v>
      </c>
      <c r="I12" s="41">
        <v>105207</v>
      </c>
      <c r="J12" s="41">
        <v>111089</v>
      </c>
      <c r="K12" s="53">
        <v>407750</v>
      </c>
      <c r="L12" s="41">
        <v>119562</v>
      </c>
      <c r="M12" s="41">
        <v>120948</v>
      </c>
      <c r="N12" s="41">
        <v>128479</v>
      </c>
      <c r="O12" s="41">
        <v>128316</v>
      </c>
      <c r="P12" s="135">
        <v>497307</v>
      </c>
      <c r="Q12" s="39">
        <v>128858</v>
      </c>
      <c r="R12" s="39">
        <v>123324</v>
      </c>
      <c r="S12" s="41">
        <v>122392</v>
      </c>
      <c r="T12" s="41">
        <v>131842</v>
      </c>
      <c r="U12" s="135">
        <v>506416</v>
      </c>
      <c r="V12" s="39">
        <v>130487</v>
      </c>
      <c r="W12" s="39">
        <v>119814</v>
      </c>
      <c r="X12" s="41">
        <v>123113</v>
      </c>
      <c r="Y12" s="41">
        <v>129751</v>
      </c>
      <c r="Z12" s="135">
        <v>503165</v>
      </c>
      <c r="AA12" s="39">
        <v>121517</v>
      </c>
      <c r="AB12" s="39">
        <v>92319</v>
      </c>
      <c r="AC12" s="41">
        <v>97927</v>
      </c>
      <c r="AD12" s="41">
        <v>116328</v>
      </c>
      <c r="AE12" s="135">
        <v>428091</v>
      </c>
      <c r="AF12" s="39">
        <v>125081</v>
      </c>
      <c r="AG12" s="39">
        <v>120781</v>
      </c>
      <c r="AH12" s="41">
        <v>115798</v>
      </c>
      <c r="AM12" s="41">
        <v>115798</v>
      </c>
      <c r="AN12" s="41"/>
    </row>
    <row r="13" spans="1:41" ht="15" hidden="1" customHeight="1" thickBot="1" x14ac:dyDescent="0.3">
      <c r="A13" s="1" t="s">
        <v>178</v>
      </c>
      <c r="B13" s="77">
        <f t="shared" ref="B13:G13" si="2">SUM(B10:B12)</f>
        <v>294172</v>
      </c>
      <c r="C13" s="77">
        <f t="shared" si="2"/>
        <v>299306</v>
      </c>
      <c r="D13" s="77">
        <f t="shared" si="2"/>
        <v>332674</v>
      </c>
      <c r="E13" s="77">
        <f t="shared" si="2"/>
        <v>397018</v>
      </c>
      <c r="F13" s="81">
        <f t="shared" si="2"/>
        <v>1323169</v>
      </c>
      <c r="G13" s="77">
        <f t="shared" si="2"/>
        <v>401253</v>
      </c>
      <c r="H13" s="77">
        <f>SUM(H10:H12)</f>
        <v>407201</v>
      </c>
      <c r="I13" s="77">
        <f>SUM(I10:I12)</f>
        <v>423867</v>
      </c>
      <c r="J13" s="77">
        <f t="shared" ref="J13:K13" si="3">SUM(J10:J12)</f>
        <v>566825</v>
      </c>
      <c r="K13" s="81">
        <f t="shared" si="3"/>
        <v>1799146</v>
      </c>
      <c r="L13" s="77">
        <f>SUM(L10:L12)</f>
        <v>516667</v>
      </c>
      <c r="M13" s="77">
        <f>SUM(M10:M12)</f>
        <v>542022</v>
      </c>
      <c r="N13" s="77">
        <f>SUM(N10:N12)</f>
        <v>563973</v>
      </c>
      <c r="O13" s="77">
        <f t="shared" ref="O13:P13" si="4">SUM(O10:O12)</f>
        <v>674031</v>
      </c>
      <c r="P13" s="136">
        <f t="shared" si="4"/>
        <v>2296692</v>
      </c>
      <c r="Q13" s="77">
        <f>SUM(Q10:Q12)</f>
        <v>564164</v>
      </c>
      <c r="R13" s="77">
        <f>SUM(R10:R12)</f>
        <v>537185</v>
      </c>
      <c r="S13" s="77">
        <f>SUM(S10:S12)</f>
        <v>528869</v>
      </c>
      <c r="T13" s="77">
        <f t="shared" ref="T13:U13" si="5">SUM(T10:T12)</f>
        <v>670096</v>
      </c>
      <c r="U13" s="136">
        <f t="shared" si="5"/>
        <v>2300314</v>
      </c>
      <c r="V13" s="77">
        <f>SUM(V10:V12)</f>
        <v>558123</v>
      </c>
      <c r="W13" s="77">
        <f>SUM(W10:W12)</f>
        <v>528147</v>
      </c>
      <c r="X13" s="77">
        <f>SUM(X10:X12)</f>
        <v>522606</v>
      </c>
      <c r="Y13" s="77">
        <f t="shared" ref="Y13:Z13" si="6">SUM(Y10:Y12)</f>
        <v>652640</v>
      </c>
      <c r="Z13" s="136">
        <f t="shared" si="6"/>
        <v>2261516</v>
      </c>
      <c r="AA13" s="77">
        <f>SUM(AA10:AA12)</f>
        <v>503376</v>
      </c>
      <c r="AB13" s="77">
        <f>SUM(AB10:AB12)</f>
        <v>437614</v>
      </c>
      <c r="AC13" s="77">
        <f>SUM(AC10:AC12)</f>
        <v>470345</v>
      </c>
      <c r="AD13" s="77">
        <f t="shared" ref="AD13:AE13" si="7">SUM(AD10:AD12)</f>
        <v>661282</v>
      </c>
      <c r="AE13" s="136">
        <f t="shared" si="7"/>
        <v>2072617</v>
      </c>
      <c r="AF13" s="77">
        <f>SUM(AF10:AF12)</f>
        <v>541077</v>
      </c>
      <c r="AG13" s="77">
        <f>SUM(AG10:AG12)</f>
        <v>551311</v>
      </c>
      <c r="AH13" s="77">
        <f>SUM(AH10:AH12)</f>
        <v>508580</v>
      </c>
      <c r="AM13" s="77">
        <f>SUM(AM10:AM12)</f>
        <v>508580</v>
      </c>
      <c r="AN13" s="77"/>
    </row>
    <row r="14" spans="1:41" ht="15" hidden="1" customHeight="1" thickTop="1" x14ac:dyDescent="0.25">
      <c r="F14" s="9"/>
      <c r="K14" s="9"/>
      <c r="P14" s="137"/>
      <c r="U14" s="137"/>
      <c r="Z14" s="137"/>
      <c r="AE14" s="137"/>
    </row>
    <row r="15" spans="1:41" ht="15" hidden="1" customHeight="1" x14ac:dyDescent="0.25">
      <c r="A15" s="1" t="s">
        <v>179</v>
      </c>
      <c r="F15" s="9"/>
      <c r="K15" s="9"/>
      <c r="P15" s="137"/>
      <c r="U15" s="137"/>
      <c r="Z15" s="137"/>
      <c r="AE15" s="137"/>
    </row>
    <row r="16" spans="1:41" ht="15" hidden="1" customHeight="1" x14ac:dyDescent="0.25">
      <c r="A16" s="132" t="s">
        <v>175</v>
      </c>
      <c r="B16" s="39">
        <v>-61244</v>
      </c>
      <c r="C16" s="39">
        <v>-66853</v>
      </c>
      <c r="D16" s="39">
        <v>-75684</v>
      </c>
      <c r="E16" s="39">
        <v>-104646</v>
      </c>
      <c r="F16" s="50">
        <v>-308427</v>
      </c>
      <c r="G16" s="39">
        <v>-90929</v>
      </c>
      <c r="H16" s="39">
        <v>-96560</v>
      </c>
      <c r="I16" s="39">
        <v>-97239</v>
      </c>
      <c r="J16" s="39">
        <v>-167046</v>
      </c>
      <c r="K16" s="50">
        <v>-451774</v>
      </c>
      <c r="L16" s="39">
        <v>-128867</v>
      </c>
      <c r="M16" s="39">
        <v>-145289</v>
      </c>
      <c r="N16" s="39">
        <v>-141869</v>
      </c>
      <c r="O16" s="39">
        <v>-203368</v>
      </c>
      <c r="P16" s="134">
        <v>-619393</v>
      </c>
      <c r="Q16" s="39">
        <v>-131521</v>
      </c>
      <c r="R16" s="39">
        <v>-125502</v>
      </c>
      <c r="S16" s="39">
        <v>-126406</v>
      </c>
      <c r="T16" s="39">
        <v>-196168</v>
      </c>
      <c r="U16" s="134">
        <v>-579597</v>
      </c>
      <c r="V16" s="39">
        <v>-131545</v>
      </c>
      <c r="W16" s="39">
        <v>-129491</v>
      </c>
      <c r="X16" s="39">
        <v>-129047</v>
      </c>
      <c r="Y16" s="39">
        <v>-189092</v>
      </c>
      <c r="Z16" s="134">
        <v>-579175</v>
      </c>
      <c r="AA16" s="39">
        <v>-120022</v>
      </c>
      <c r="AB16" s="39">
        <v>-115317</v>
      </c>
      <c r="AC16" s="39">
        <v>-130756</v>
      </c>
      <c r="AD16" s="39">
        <v>-203341</v>
      </c>
      <c r="AE16" s="134">
        <v>-569436</v>
      </c>
      <c r="AF16" s="39">
        <v>-127628</v>
      </c>
      <c r="AG16" s="39">
        <v>-134332</v>
      </c>
      <c r="AH16" s="39">
        <v>-116796</v>
      </c>
      <c r="AM16" s="39">
        <v>-116796</v>
      </c>
      <c r="AN16" s="39"/>
    </row>
    <row r="17" spans="1:41" ht="15" hidden="1" customHeight="1" x14ac:dyDescent="0.25">
      <c r="A17" s="132" t="s">
        <v>176</v>
      </c>
      <c r="B17" s="39">
        <v>-78158</v>
      </c>
      <c r="C17" s="39">
        <v>-73155</v>
      </c>
      <c r="D17" s="39">
        <v>-79710</v>
      </c>
      <c r="E17" s="39">
        <v>-82905</v>
      </c>
      <c r="F17" s="50">
        <v>-313928</v>
      </c>
      <c r="G17" s="39">
        <v>-91185</v>
      </c>
      <c r="H17" s="39">
        <v>-86820</v>
      </c>
      <c r="I17" s="39">
        <v>-87092</v>
      </c>
      <c r="J17" s="39">
        <v>-108567</v>
      </c>
      <c r="K17" s="50">
        <v>-373664</v>
      </c>
      <c r="L17" s="39">
        <v>-107583</v>
      </c>
      <c r="M17" s="39">
        <v>-106605</v>
      </c>
      <c r="N17" s="39">
        <v>-115446</v>
      </c>
      <c r="O17" s="39">
        <v>-120662</v>
      </c>
      <c r="P17" s="134">
        <v>-450297</v>
      </c>
      <c r="Q17" s="39">
        <v>-119893</v>
      </c>
      <c r="R17" s="39">
        <v>-112577</v>
      </c>
      <c r="S17" s="39">
        <v>-111131</v>
      </c>
      <c r="T17" s="39">
        <v>-128053</v>
      </c>
      <c r="U17" s="134">
        <v>-471654</v>
      </c>
      <c r="V17" s="39">
        <v>-117291</v>
      </c>
      <c r="W17" s="39">
        <v>-107401</v>
      </c>
      <c r="X17" s="39">
        <v>-103899</v>
      </c>
      <c r="Y17" s="39">
        <v>-124939</v>
      </c>
      <c r="Z17" s="134">
        <v>-453530</v>
      </c>
      <c r="AA17" s="39">
        <v>-108397</v>
      </c>
      <c r="AB17" s="39">
        <v>-90153</v>
      </c>
      <c r="AC17" s="39">
        <v>-97272</v>
      </c>
      <c r="AD17" s="39">
        <v>-137384</v>
      </c>
      <c r="AE17" s="134">
        <v>-433206</v>
      </c>
      <c r="AF17" s="39">
        <v>-126648</v>
      </c>
      <c r="AG17" s="39">
        <v>-124747</v>
      </c>
      <c r="AH17" s="39">
        <v>-111869</v>
      </c>
      <c r="AM17" s="39">
        <v>-111869</v>
      </c>
      <c r="AN17" s="39"/>
    </row>
    <row r="18" spans="1:41" ht="15" hidden="1" customHeight="1" x14ac:dyDescent="0.25">
      <c r="A18" s="132" t="s">
        <v>177</v>
      </c>
      <c r="B18" s="41">
        <v>-36486</v>
      </c>
      <c r="C18" s="41">
        <v>-37231</v>
      </c>
      <c r="D18" s="41">
        <v>-43576</v>
      </c>
      <c r="E18" s="41">
        <v>-49505</v>
      </c>
      <c r="F18" s="53">
        <v>-166797</v>
      </c>
      <c r="G18" s="41">
        <v>-56641</v>
      </c>
      <c r="H18" s="41">
        <v>-57589</v>
      </c>
      <c r="I18" s="41">
        <v>-62979</v>
      </c>
      <c r="J18" s="41">
        <v>-66264</v>
      </c>
      <c r="K18" s="53">
        <v>-243473</v>
      </c>
      <c r="L18" s="41">
        <v>-70243</v>
      </c>
      <c r="M18" s="41">
        <v>-70306</v>
      </c>
      <c r="N18" s="41">
        <v>-72261</v>
      </c>
      <c r="O18" s="41">
        <v>-73057</v>
      </c>
      <c r="P18" s="135">
        <v>-285866</v>
      </c>
      <c r="Q18" s="39">
        <v>-72332</v>
      </c>
      <c r="R18" s="39">
        <v>-68884</v>
      </c>
      <c r="S18" s="41">
        <v>-67850</v>
      </c>
      <c r="T18" s="41">
        <v>-74017</v>
      </c>
      <c r="U18" s="135">
        <v>-283083</v>
      </c>
      <c r="V18" s="39">
        <v>-73593</v>
      </c>
      <c r="W18" s="39">
        <v>-67337</v>
      </c>
      <c r="X18" s="41">
        <v>-68955</v>
      </c>
      <c r="Y18" s="41">
        <v>-72357</v>
      </c>
      <c r="Z18" s="135">
        <v>-282242</v>
      </c>
      <c r="AA18" s="39">
        <v>-68945</v>
      </c>
      <c r="AB18" s="39">
        <v>-52228</v>
      </c>
      <c r="AC18" s="41">
        <v>-56373</v>
      </c>
      <c r="AD18" s="41">
        <v>-67383</v>
      </c>
      <c r="AE18" s="135">
        <v>-244929</v>
      </c>
      <c r="AF18" s="39">
        <v>-73391</v>
      </c>
      <c r="AG18" s="39">
        <v>-71999</v>
      </c>
      <c r="AH18" s="41">
        <v>-68954</v>
      </c>
      <c r="AM18" s="41">
        <v>-68954</v>
      </c>
      <c r="AN18" s="41"/>
    </row>
    <row r="19" spans="1:41" ht="15" hidden="1" customHeight="1" thickBot="1" x14ac:dyDescent="0.3">
      <c r="A19" s="1" t="s">
        <v>178</v>
      </c>
      <c r="B19" s="77">
        <f t="shared" ref="B19:P19" si="8">SUM(B16:B18)</f>
        <v>-175888</v>
      </c>
      <c r="C19" s="77">
        <f t="shared" si="8"/>
        <v>-177239</v>
      </c>
      <c r="D19" s="77">
        <f t="shared" si="8"/>
        <v>-198970</v>
      </c>
      <c r="E19" s="77">
        <f t="shared" si="8"/>
        <v>-237056</v>
      </c>
      <c r="F19" s="81">
        <f t="shared" si="8"/>
        <v>-789152</v>
      </c>
      <c r="G19" s="77">
        <f t="shared" si="8"/>
        <v>-238755</v>
      </c>
      <c r="H19" s="77">
        <f t="shared" si="8"/>
        <v>-240969</v>
      </c>
      <c r="I19" s="77">
        <f t="shared" si="8"/>
        <v>-247310</v>
      </c>
      <c r="J19" s="77">
        <f t="shared" si="8"/>
        <v>-341877</v>
      </c>
      <c r="K19" s="81">
        <f t="shared" si="8"/>
        <v>-1068911</v>
      </c>
      <c r="L19" s="77">
        <f t="shared" si="8"/>
        <v>-306693</v>
      </c>
      <c r="M19" s="77">
        <f t="shared" si="8"/>
        <v>-322200</v>
      </c>
      <c r="N19" s="77">
        <f t="shared" si="8"/>
        <v>-329576</v>
      </c>
      <c r="O19" s="77">
        <f t="shared" si="8"/>
        <v>-397087</v>
      </c>
      <c r="P19" s="136">
        <f t="shared" si="8"/>
        <v>-1355556</v>
      </c>
      <c r="Q19" s="77">
        <f>SUM(Q16:Q18)</f>
        <v>-323746</v>
      </c>
      <c r="R19" s="77">
        <f>SUM(R16:R18)</f>
        <v>-306963</v>
      </c>
      <c r="S19" s="77">
        <f>SUM(S16:S18)</f>
        <v>-305387</v>
      </c>
      <c r="T19" s="77">
        <f t="shared" ref="T19:U19" si="9">SUM(T16:T18)</f>
        <v>-398238</v>
      </c>
      <c r="U19" s="136">
        <f t="shared" si="9"/>
        <v>-1334334</v>
      </c>
      <c r="V19" s="77">
        <f>SUM(V16:V18)</f>
        <v>-322429</v>
      </c>
      <c r="W19" s="77">
        <f>SUM(W16:W18)</f>
        <v>-304229</v>
      </c>
      <c r="X19" s="77">
        <f>SUM(X16:X18)</f>
        <v>-301901</v>
      </c>
      <c r="Y19" s="77">
        <f t="shared" ref="Y19:Z19" si="10">SUM(Y16:Y18)</f>
        <v>-386388</v>
      </c>
      <c r="Z19" s="136">
        <f t="shared" si="10"/>
        <v>-1314947</v>
      </c>
      <c r="AA19" s="77">
        <f>SUM(AA16:AA18)</f>
        <v>-297364</v>
      </c>
      <c r="AB19" s="77">
        <f>SUM(AB16:AB18)</f>
        <v>-257698</v>
      </c>
      <c r="AC19" s="77">
        <f>SUM(AC16:AC18)</f>
        <v>-284401</v>
      </c>
      <c r="AD19" s="77">
        <f t="shared" ref="AD19:AE19" si="11">SUM(AD16:AD18)</f>
        <v>-408108</v>
      </c>
      <c r="AE19" s="136">
        <f t="shared" si="11"/>
        <v>-1247571</v>
      </c>
      <c r="AF19" s="77">
        <f>SUM(AF16:AF18)</f>
        <v>-327667</v>
      </c>
      <c r="AG19" s="77">
        <f>SUM(AG16:AG18)</f>
        <v>-331078</v>
      </c>
      <c r="AH19" s="77">
        <f>SUM(AH16:AH18)</f>
        <v>-297619</v>
      </c>
      <c r="AM19" s="77">
        <f>SUM(AM16:AM18)</f>
        <v>-297619</v>
      </c>
      <c r="AN19" s="77"/>
    </row>
    <row r="20" spans="1:41" ht="15" hidden="1" customHeight="1" thickTop="1" x14ac:dyDescent="0.25">
      <c r="F20" s="9"/>
      <c r="K20" s="9"/>
      <c r="P20" s="137"/>
      <c r="U20" s="137"/>
      <c r="Z20" s="137"/>
      <c r="AE20" s="137"/>
    </row>
    <row r="21" spans="1:41" ht="15" hidden="1" customHeight="1" x14ac:dyDescent="0.25">
      <c r="A21" s="1" t="s">
        <v>173</v>
      </c>
      <c r="F21" s="9"/>
      <c r="K21" s="9"/>
      <c r="P21" s="137"/>
      <c r="U21" s="137"/>
      <c r="Z21" s="137"/>
      <c r="AE21" s="137"/>
    </row>
    <row r="22" spans="1:41" ht="15" hidden="1" customHeight="1" x14ac:dyDescent="0.25">
      <c r="A22" s="132" t="s">
        <v>175</v>
      </c>
      <c r="B22" s="78">
        <f t="shared" ref="B22:P22" si="12">B10+B16</f>
        <v>39380</v>
      </c>
      <c r="C22" s="78">
        <f t="shared" si="12"/>
        <v>44019</v>
      </c>
      <c r="D22" s="78">
        <f t="shared" si="12"/>
        <v>48340</v>
      </c>
      <c r="E22" s="78">
        <f t="shared" si="12"/>
        <v>65487</v>
      </c>
      <c r="F22" s="82">
        <f t="shared" si="12"/>
        <v>197226</v>
      </c>
      <c r="G22" s="78">
        <f t="shared" si="12"/>
        <v>56245</v>
      </c>
      <c r="H22" s="78">
        <f t="shared" si="12"/>
        <v>59962</v>
      </c>
      <c r="I22" s="78">
        <f t="shared" si="12"/>
        <v>63500</v>
      </c>
      <c r="J22" s="78">
        <f t="shared" si="12"/>
        <v>99392</v>
      </c>
      <c r="K22" s="82">
        <f t="shared" si="12"/>
        <v>279099</v>
      </c>
      <c r="L22" s="78">
        <f t="shared" si="12"/>
        <v>79146</v>
      </c>
      <c r="M22" s="78">
        <f t="shared" si="12"/>
        <v>84103</v>
      </c>
      <c r="N22" s="78">
        <f t="shared" si="12"/>
        <v>86457</v>
      </c>
      <c r="O22" s="78">
        <f t="shared" si="12"/>
        <v>121328</v>
      </c>
      <c r="P22" s="138">
        <f t="shared" si="12"/>
        <v>371031</v>
      </c>
      <c r="Q22" s="78">
        <f t="shared" ref="Q22:R24" si="13">Q10+Q16</f>
        <v>81174</v>
      </c>
      <c r="R22" s="78">
        <f t="shared" si="13"/>
        <v>87279</v>
      </c>
      <c r="S22" s="78">
        <f t="shared" ref="S22:W22" si="14">S10+S16</f>
        <v>84841</v>
      </c>
      <c r="T22" s="78">
        <f t="shared" si="14"/>
        <v>121182</v>
      </c>
      <c r="U22" s="138">
        <f t="shared" si="14"/>
        <v>374476</v>
      </c>
      <c r="V22" s="78">
        <f t="shared" si="14"/>
        <v>86448</v>
      </c>
      <c r="W22" s="78">
        <f t="shared" si="14"/>
        <v>84483</v>
      </c>
      <c r="X22" s="78">
        <f t="shared" ref="X22:AA22" si="15">X10+X16</f>
        <v>84890</v>
      </c>
      <c r="Y22" s="78">
        <f t="shared" si="15"/>
        <v>117158</v>
      </c>
      <c r="Z22" s="138">
        <f t="shared" si="15"/>
        <v>372979</v>
      </c>
      <c r="AA22" s="78">
        <f t="shared" si="15"/>
        <v>71723</v>
      </c>
      <c r="AB22" s="78">
        <f t="shared" ref="AB22:AF22" si="16">AB10+AB16</f>
        <v>70357</v>
      </c>
      <c r="AC22" s="78">
        <f t="shared" si="16"/>
        <v>73862</v>
      </c>
      <c r="AD22" s="78">
        <f t="shared" si="16"/>
        <v>109476</v>
      </c>
      <c r="AE22" s="138">
        <f t="shared" si="16"/>
        <v>325418</v>
      </c>
      <c r="AF22" s="78">
        <f t="shared" si="16"/>
        <v>76272</v>
      </c>
      <c r="AG22" s="78">
        <f t="shared" ref="AG22:AH22" si="17">AG10+AG16</f>
        <v>86895</v>
      </c>
      <c r="AH22" s="78">
        <f t="shared" si="17"/>
        <v>87632</v>
      </c>
      <c r="AM22" s="78">
        <f t="shared" ref="AM22" si="18">AM10+AM16</f>
        <v>87632</v>
      </c>
      <c r="AN22" s="78"/>
    </row>
    <row r="23" spans="1:41" ht="15" hidden="1" customHeight="1" x14ac:dyDescent="0.25">
      <c r="A23" s="132" t="s">
        <v>176</v>
      </c>
      <c r="B23" s="78">
        <f t="shared" ref="B23:P23" si="19">B11+B17</f>
        <v>54050</v>
      </c>
      <c r="C23" s="78">
        <f t="shared" si="19"/>
        <v>53652</v>
      </c>
      <c r="D23" s="78">
        <f t="shared" si="19"/>
        <v>57475</v>
      </c>
      <c r="E23" s="78">
        <f t="shared" si="19"/>
        <v>62000</v>
      </c>
      <c r="F23" s="82">
        <f t="shared" si="19"/>
        <v>227177</v>
      </c>
      <c r="G23" s="78">
        <f t="shared" si="19"/>
        <v>68220</v>
      </c>
      <c r="H23" s="78">
        <f t="shared" si="19"/>
        <v>67079</v>
      </c>
      <c r="I23" s="78">
        <f t="shared" si="19"/>
        <v>70829</v>
      </c>
      <c r="J23" s="78">
        <f t="shared" si="19"/>
        <v>80731</v>
      </c>
      <c r="K23" s="82">
        <f t="shared" si="19"/>
        <v>286859</v>
      </c>
      <c r="L23" s="78">
        <f t="shared" si="19"/>
        <v>81509</v>
      </c>
      <c r="M23" s="78">
        <f t="shared" si="19"/>
        <v>85077</v>
      </c>
      <c r="N23" s="78">
        <f t="shared" si="19"/>
        <v>91722</v>
      </c>
      <c r="O23" s="78">
        <f t="shared" si="19"/>
        <v>100357</v>
      </c>
      <c r="P23" s="138">
        <f t="shared" si="19"/>
        <v>358664</v>
      </c>
      <c r="Q23" s="78">
        <f t="shared" si="13"/>
        <v>102718</v>
      </c>
      <c r="R23" s="78">
        <f t="shared" si="13"/>
        <v>88503</v>
      </c>
      <c r="S23" s="78">
        <f t="shared" ref="S23:W23" si="20">S11+S17</f>
        <v>84099</v>
      </c>
      <c r="T23" s="78">
        <f t="shared" si="20"/>
        <v>92851</v>
      </c>
      <c r="U23" s="138">
        <f t="shared" si="20"/>
        <v>368171</v>
      </c>
      <c r="V23" s="78">
        <f t="shared" si="20"/>
        <v>92352</v>
      </c>
      <c r="W23" s="78">
        <f t="shared" si="20"/>
        <v>86958</v>
      </c>
      <c r="X23" s="78">
        <f t="shared" ref="X23:AA23" si="21">X11+X17</f>
        <v>81657</v>
      </c>
      <c r="Y23" s="78">
        <f t="shared" si="21"/>
        <v>91700</v>
      </c>
      <c r="Z23" s="138">
        <f t="shared" si="21"/>
        <v>352667</v>
      </c>
      <c r="AA23" s="78">
        <f t="shared" si="21"/>
        <v>81717</v>
      </c>
      <c r="AB23" s="78">
        <f t="shared" ref="AB23:AF23" si="22">AB11+AB17</f>
        <v>69468</v>
      </c>
      <c r="AC23" s="78">
        <f t="shared" si="22"/>
        <v>70528</v>
      </c>
      <c r="AD23" s="78">
        <f t="shared" si="22"/>
        <v>94753</v>
      </c>
      <c r="AE23" s="138">
        <f t="shared" si="22"/>
        <v>316466</v>
      </c>
      <c r="AF23" s="78">
        <f t="shared" si="22"/>
        <v>85448</v>
      </c>
      <c r="AG23" s="78">
        <f t="shared" ref="AG23:AH23" si="23">AG11+AG17</f>
        <v>84556</v>
      </c>
      <c r="AH23" s="78">
        <f t="shared" si="23"/>
        <v>76485</v>
      </c>
      <c r="AM23" s="78">
        <f t="shared" ref="AM23" si="24">AM11+AM17</f>
        <v>76485</v>
      </c>
      <c r="AN23" s="78"/>
    </row>
    <row r="24" spans="1:41" hidden="1" x14ac:dyDescent="0.25">
      <c r="A24" s="132" t="s">
        <v>177</v>
      </c>
      <c r="B24" s="78">
        <f t="shared" ref="B24:P24" si="25">B12+B18</f>
        <v>24854</v>
      </c>
      <c r="C24" s="78">
        <f t="shared" si="25"/>
        <v>24396</v>
      </c>
      <c r="D24" s="78">
        <f t="shared" si="25"/>
        <v>27889</v>
      </c>
      <c r="E24" s="78">
        <f t="shared" si="25"/>
        <v>32475</v>
      </c>
      <c r="F24" s="82">
        <f t="shared" si="25"/>
        <v>109614</v>
      </c>
      <c r="G24" s="78">
        <f t="shared" si="25"/>
        <v>38033</v>
      </c>
      <c r="H24" s="78">
        <f t="shared" si="25"/>
        <v>39191</v>
      </c>
      <c r="I24" s="78">
        <f t="shared" si="25"/>
        <v>42228</v>
      </c>
      <c r="J24" s="78">
        <f t="shared" si="25"/>
        <v>44825</v>
      </c>
      <c r="K24" s="82">
        <f t="shared" si="25"/>
        <v>164277</v>
      </c>
      <c r="L24" s="78">
        <f t="shared" si="25"/>
        <v>49319</v>
      </c>
      <c r="M24" s="78">
        <f t="shared" si="25"/>
        <v>50642</v>
      </c>
      <c r="N24" s="78">
        <f t="shared" si="25"/>
        <v>56218</v>
      </c>
      <c r="O24" s="78">
        <f t="shared" si="25"/>
        <v>55259</v>
      </c>
      <c r="P24" s="138">
        <f t="shared" si="25"/>
        <v>211441</v>
      </c>
      <c r="Q24" s="78">
        <f t="shared" si="13"/>
        <v>56526</v>
      </c>
      <c r="R24" s="78">
        <f t="shared" si="13"/>
        <v>54440</v>
      </c>
      <c r="S24" s="78">
        <f t="shared" ref="S24:W24" si="26">S12+S18</f>
        <v>54542</v>
      </c>
      <c r="T24" s="78">
        <f t="shared" si="26"/>
        <v>57825</v>
      </c>
      <c r="U24" s="138">
        <f t="shared" si="26"/>
        <v>223333</v>
      </c>
      <c r="V24" s="78">
        <f t="shared" si="26"/>
        <v>56894</v>
      </c>
      <c r="W24" s="78">
        <f t="shared" si="26"/>
        <v>52477</v>
      </c>
      <c r="X24" s="78">
        <f t="shared" ref="X24:AA24" si="27">X12+X18</f>
        <v>54158</v>
      </c>
      <c r="Y24" s="78">
        <f t="shared" si="27"/>
        <v>57394</v>
      </c>
      <c r="Z24" s="138">
        <f t="shared" si="27"/>
        <v>220923</v>
      </c>
      <c r="AA24" s="78">
        <f t="shared" si="27"/>
        <v>52572</v>
      </c>
      <c r="AB24" s="78">
        <f t="shared" ref="AB24:AF24" si="28">AB12+AB18</f>
        <v>40091</v>
      </c>
      <c r="AC24" s="78">
        <f t="shared" si="28"/>
        <v>41554</v>
      </c>
      <c r="AD24" s="78">
        <f t="shared" si="28"/>
        <v>48945</v>
      </c>
      <c r="AE24" s="138">
        <f t="shared" si="28"/>
        <v>183162</v>
      </c>
      <c r="AF24" s="78">
        <f t="shared" si="28"/>
        <v>51690</v>
      </c>
      <c r="AG24" s="78">
        <f t="shared" ref="AG24:AH24" si="29">AG12+AG18</f>
        <v>48782</v>
      </c>
      <c r="AH24" s="78">
        <f t="shared" si="29"/>
        <v>46844</v>
      </c>
      <c r="AM24" s="78">
        <f t="shared" ref="AM24" si="30">AM12+AM18</f>
        <v>46844</v>
      </c>
      <c r="AN24" s="78"/>
    </row>
    <row r="25" spans="1:41" ht="13.8" hidden="1" thickBot="1" x14ac:dyDescent="0.3">
      <c r="A25" s="1" t="s">
        <v>178</v>
      </c>
      <c r="B25" s="79">
        <f t="shared" ref="B25:P25" si="31">SUM(B22:B24)</f>
        <v>118284</v>
      </c>
      <c r="C25" s="79">
        <f t="shared" si="31"/>
        <v>122067</v>
      </c>
      <c r="D25" s="79">
        <f t="shared" si="31"/>
        <v>133704</v>
      </c>
      <c r="E25" s="79">
        <f t="shared" si="31"/>
        <v>159962</v>
      </c>
      <c r="F25" s="83">
        <f t="shared" si="31"/>
        <v>534017</v>
      </c>
      <c r="G25" s="79">
        <f t="shared" si="31"/>
        <v>162498</v>
      </c>
      <c r="H25" s="79">
        <f t="shared" si="31"/>
        <v>166232</v>
      </c>
      <c r="I25" s="79">
        <f t="shared" si="31"/>
        <v>176557</v>
      </c>
      <c r="J25" s="79">
        <f t="shared" si="31"/>
        <v>224948</v>
      </c>
      <c r="K25" s="83">
        <f t="shared" si="31"/>
        <v>730235</v>
      </c>
      <c r="L25" s="79">
        <f t="shared" si="31"/>
        <v>209974</v>
      </c>
      <c r="M25" s="79">
        <f t="shared" si="31"/>
        <v>219822</v>
      </c>
      <c r="N25" s="79">
        <f t="shared" si="31"/>
        <v>234397</v>
      </c>
      <c r="O25" s="79">
        <f t="shared" si="31"/>
        <v>276944</v>
      </c>
      <c r="P25" s="139">
        <f t="shared" si="31"/>
        <v>941136</v>
      </c>
      <c r="Q25" s="79">
        <f>SUM(Q22:Q24)</f>
        <v>240418</v>
      </c>
      <c r="R25" s="79">
        <f>SUM(R22:R24)</f>
        <v>230222</v>
      </c>
      <c r="S25" s="79">
        <f>SUM(S22:S24)</f>
        <v>223482</v>
      </c>
      <c r="T25" s="79">
        <f t="shared" ref="T25:U25" si="32">SUM(T22:T24)</f>
        <v>271858</v>
      </c>
      <c r="U25" s="139">
        <f t="shared" si="32"/>
        <v>965980</v>
      </c>
      <c r="V25" s="79">
        <f>SUM(V22:V24)</f>
        <v>235694</v>
      </c>
      <c r="W25" s="79">
        <f>SUM(W22:W24)</f>
        <v>223918</v>
      </c>
      <c r="X25" s="79">
        <f>SUM(X22:X24)</f>
        <v>220705</v>
      </c>
      <c r="Y25" s="79">
        <f t="shared" ref="Y25:Z25" si="33">SUM(Y22:Y24)</f>
        <v>266252</v>
      </c>
      <c r="Z25" s="139">
        <f t="shared" si="33"/>
        <v>946569</v>
      </c>
      <c r="AA25" s="79">
        <f>SUM(AA22:AA24)</f>
        <v>206012</v>
      </c>
      <c r="AB25" s="79">
        <f>SUM(AB22:AB24)</f>
        <v>179916</v>
      </c>
      <c r="AC25" s="79">
        <f>SUM(AC22:AC24)</f>
        <v>185944</v>
      </c>
      <c r="AD25" s="79">
        <f t="shared" ref="AD25:AE25" si="34">SUM(AD22:AD24)</f>
        <v>253174</v>
      </c>
      <c r="AE25" s="139">
        <f t="shared" si="34"/>
        <v>825046</v>
      </c>
      <c r="AF25" s="79">
        <f>SUM(AF22:AF24)</f>
        <v>213410</v>
      </c>
      <c r="AG25" s="79">
        <f>SUM(AG22:AG24)</f>
        <v>220233</v>
      </c>
      <c r="AH25" s="79">
        <f>SUM(AH22:AH24)</f>
        <v>210961</v>
      </c>
      <c r="AM25" s="79">
        <f>SUM(AM22:AM24)</f>
        <v>210961</v>
      </c>
      <c r="AN25" s="79"/>
    </row>
    <row r="26" spans="1:41" hidden="1" x14ac:dyDescent="0.25">
      <c r="F26" s="9"/>
      <c r="K26" s="9"/>
      <c r="P26" s="100"/>
      <c r="U26" s="100"/>
      <c r="Z26" s="100"/>
      <c r="AE26" s="100"/>
    </row>
    <row r="27" spans="1:41" x14ac:dyDescent="0.25">
      <c r="A27" s="13" t="s">
        <v>180</v>
      </c>
      <c r="B27" s="14" t="s">
        <v>61</v>
      </c>
      <c r="C27" s="14" t="s">
        <v>62</v>
      </c>
      <c r="D27" s="14" t="s">
        <v>63</v>
      </c>
      <c r="E27" s="14" t="s">
        <v>64</v>
      </c>
      <c r="F27" s="15" t="s">
        <v>65</v>
      </c>
      <c r="G27" s="14" t="s">
        <v>66</v>
      </c>
      <c r="H27" s="14" t="s">
        <v>67</v>
      </c>
      <c r="I27" s="14" t="s">
        <v>68</v>
      </c>
      <c r="J27" s="14" t="s">
        <v>69</v>
      </c>
      <c r="K27" s="15" t="s">
        <v>70</v>
      </c>
      <c r="L27" s="14" t="s">
        <v>71</v>
      </c>
      <c r="M27" s="14" t="s">
        <v>72</v>
      </c>
      <c r="N27" s="14" t="s">
        <v>73</v>
      </c>
      <c r="O27" s="14" t="s">
        <v>74</v>
      </c>
      <c r="P27" s="115" t="s">
        <v>75</v>
      </c>
      <c r="Q27" s="14" t="s">
        <v>76</v>
      </c>
      <c r="R27" s="14" t="s">
        <v>77</v>
      </c>
      <c r="S27" s="14" t="s">
        <v>78</v>
      </c>
      <c r="T27" s="14" t="s">
        <v>79</v>
      </c>
      <c r="U27" s="115" t="s">
        <v>80</v>
      </c>
      <c r="V27" s="14" t="s">
        <v>81</v>
      </c>
      <c r="W27" s="14" t="s">
        <v>82</v>
      </c>
      <c r="X27" s="14" t="s">
        <v>83</v>
      </c>
      <c r="Y27" s="14" t="s">
        <v>84</v>
      </c>
      <c r="Z27" s="115" t="s">
        <v>85</v>
      </c>
      <c r="AA27" s="14" t="s">
        <v>86</v>
      </c>
      <c r="AB27" s="14" t="s">
        <v>87</v>
      </c>
      <c r="AC27" s="14" t="s">
        <v>88</v>
      </c>
      <c r="AD27" s="14" t="s">
        <v>89</v>
      </c>
      <c r="AE27" s="115" t="s">
        <v>90</v>
      </c>
      <c r="AF27" s="14" t="s">
        <v>91</v>
      </c>
      <c r="AG27" s="14" t="s">
        <v>87</v>
      </c>
      <c r="AH27" s="14" t="s">
        <v>93</v>
      </c>
      <c r="AI27" s="14" t="s">
        <v>94</v>
      </c>
      <c r="AJ27" s="115" t="s">
        <v>95</v>
      </c>
      <c r="AK27" s="14" t="s">
        <v>96</v>
      </c>
      <c r="AL27" s="14" t="s">
        <v>97</v>
      </c>
      <c r="AM27" s="14" t="s">
        <v>98</v>
      </c>
      <c r="AN27" s="14" t="s">
        <v>99</v>
      </c>
      <c r="AO27" s="115" t="s">
        <v>100</v>
      </c>
    </row>
    <row r="28" spans="1:41" ht="15" customHeight="1" x14ac:dyDescent="0.25">
      <c r="A28" s="1" t="s">
        <v>1</v>
      </c>
      <c r="F28" s="9"/>
      <c r="K28" s="9"/>
      <c r="P28" s="100"/>
      <c r="U28" s="100"/>
      <c r="Z28" s="100"/>
      <c r="AE28" s="100"/>
      <c r="AJ28" s="100"/>
      <c r="AO28" s="100"/>
    </row>
    <row r="29" spans="1:41" ht="15" customHeight="1" x14ac:dyDescent="0.25">
      <c r="A29" s="132" t="s">
        <v>181</v>
      </c>
      <c r="B29" s="32"/>
      <c r="C29" s="32"/>
      <c r="D29" s="32"/>
      <c r="E29" s="32"/>
      <c r="F29" s="80"/>
      <c r="G29" s="32"/>
      <c r="H29" s="32"/>
      <c r="I29" s="32"/>
      <c r="J29" s="32"/>
      <c r="K29" s="80"/>
      <c r="L29" s="32"/>
      <c r="M29" s="32"/>
      <c r="N29" s="32"/>
      <c r="O29" s="32"/>
      <c r="P29" s="133"/>
      <c r="Q29" s="32"/>
      <c r="R29" s="32"/>
      <c r="S29" s="32"/>
      <c r="T29" s="32"/>
      <c r="U29" s="133"/>
      <c r="V29" s="32"/>
      <c r="W29" s="32"/>
      <c r="X29" s="32"/>
      <c r="Y29" s="32"/>
      <c r="Z29" s="133"/>
      <c r="AA29" s="32">
        <v>469773</v>
      </c>
      <c r="AB29" s="32">
        <v>381270</v>
      </c>
      <c r="AC29" s="32">
        <v>412126</v>
      </c>
      <c r="AD29" s="32">
        <v>543262</v>
      </c>
      <c r="AE29" s="147">
        <f>SUM(AA29:AD29)</f>
        <v>1806431</v>
      </c>
      <c r="AF29" s="32">
        <v>483190</v>
      </c>
      <c r="AG29" s="32">
        <v>487465</v>
      </c>
      <c r="AH29" s="32">
        <v>458622</v>
      </c>
      <c r="AI29" s="32">
        <v>577962</v>
      </c>
      <c r="AJ29" s="147">
        <f>SUM(AF29:AI29)</f>
        <v>2007239</v>
      </c>
      <c r="AK29" s="32">
        <v>463888</v>
      </c>
      <c r="AL29" s="32">
        <v>440423</v>
      </c>
      <c r="AM29" s="32">
        <v>387288</v>
      </c>
      <c r="AN29" s="32">
        <v>470918</v>
      </c>
      <c r="AO29" s="147">
        <f>SUM(AK29:AN29)</f>
        <v>1762517</v>
      </c>
    </row>
    <row r="30" spans="1:41" ht="15" customHeight="1" x14ac:dyDescent="0.25">
      <c r="A30" s="132" t="s">
        <v>182</v>
      </c>
      <c r="B30" s="39"/>
      <c r="C30" s="39"/>
      <c r="D30" s="39"/>
      <c r="E30" s="39"/>
      <c r="F30" s="50"/>
      <c r="G30" s="39"/>
      <c r="H30" s="39"/>
      <c r="I30" s="39"/>
      <c r="J30" s="39"/>
      <c r="K30" s="50"/>
      <c r="L30" s="39"/>
      <c r="M30" s="39"/>
      <c r="N30" s="39"/>
      <c r="O30" s="39"/>
      <c r="P30" s="134"/>
      <c r="Q30" s="39"/>
      <c r="R30" s="39"/>
      <c r="S30" s="39"/>
      <c r="T30" s="39"/>
      <c r="U30" s="134"/>
      <c r="V30" s="39"/>
      <c r="W30" s="39"/>
      <c r="X30" s="39"/>
      <c r="Y30" s="39"/>
      <c r="Z30" s="134"/>
      <c r="AA30" s="39">
        <v>33603</v>
      </c>
      <c r="AB30" s="39">
        <v>56344</v>
      </c>
      <c r="AC30" s="39">
        <v>58219</v>
      </c>
      <c r="AD30" s="39">
        <v>118020</v>
      </c>
      <c r="AE30" s="148">
        <f>SUM(AA30:AD30)</f>
        <v>266186</v>
      </c>
      <c r="AF30" s="39">
        <v>57887</v>
      </c>
      <c r="AG30" s="39">
        <v>63846</v>
      </c>
      <c r="AH30" s="39">
        <v>49958</v>
      </c>
      <c r="AI30" s="39">
        <v>75305</v>
      </c>
      <c r="AJ30" s="148">
        <f>SUM(AF30:AI30)</f>
        <v>246996</v>
      </c>
      <c r="AK30" s="39">
        <v>46679</v>
      </c>
      <c r="AL30" s="39">
        <v>54667</v>
      </c>
      <c r="AM30" s="39">
        <v>41170</v>
      </c>
      <c r="AN30" s="39">
        <v>59801</v>
      </c>
      <c r="AO30" s="148">
        <f>SUM(AK30:AN30)</f>
        <v>202317</v>
      </c>
    </row>
    <row r="31" spans="1:41" ht="15" customHeight="1" x14ac:dyDescent="0.25">
      <c r="A31" s="132" t="s">
        <v>183</v>
      </c>
      <c r="B31" s="39"/>
      <c r="C31" s="39"/>
      <c r="D31" s="39"/>
      <c r="E31" s="39"/>
      <c r="F31" s="50"/>
      <c r="G31" s="39"/>
      <c r="H31" s="39"/>
      <c r="I31" s="39"/>
      <c r="J31" s="39"/>
      <c r="K31" s="50"/>
      <c r="L31" s="39"/>
      <c r="M31" s="39"/>
      <c r="N31" s="39"/>
      <c r="O31" s="39"/>
      <c r="P31" s="134"/>
      <c r="Q31" s="39"/>
      <c r="R31" s="39"/>
      <c r="S31" s="39"/>
      <c r="T31" s="39"/>
      <c r="U31" s="134"/>
      <c r="V31" s="39"/>
      <c r="W31" s="39"/>
      <c r="X31" s="39"/>
      <c r="Y31" s="39"/>
      <c r="Z31" s="134"/>
      <c r="AA31" s="39"/>
      <c r="AB31" s="39"/>
      <c r="AC31" s="39"/>
      <c r="AD31" s="39"/>
      <c r="AE31" s="148"/>
      <c r="AF31" s="39"/>
      <c r="AG31" s="39"/>
      <c r="AH31" s="39"/>
      <c r="AI31" s="39"/>
      <c r="AJ31" s="148"/>
      <c r="AK31" s="39"/>
      <c r="AL31" s="39"/>
      <c r="AM31" s="39">
        <v>18463</v>
      </c>
      <c r="AN31" s="39">
        <v>33706</v>
      </c>
      <c r="AO31" s="148">
        <f>AM31+AN31</f>
        <v>52169</v>
      </c>
    </row>
    <row r="32" spans="1:41" ht="15" customHeight="1" thickBot="1" x14ac:dyDescent="0.3">
      <c r="A32" s="1" t="s">
        <v>178</v>
      </c>
      <c r="B32" s="77">
        <f t="shared" ref="B32:AF32" si="35">SUM(B29:B30)</f>
        <v>0</v>
      </c>
      <c r="C32" s="77">
        <f t="shared" si="35"/>
        <v>0</v>
      </c>
      <c r="D32" s="77">
        <f t="shared" si="35"/>
        <v>0</v>
      </c>
      <c r="E32" s="77">
        <f t="shared" si="35"/>
        <v>0</v>
      </c>
      <c r="F32" s="81">
        <f t="shared" si="35"/>
        <v>0</v>
      </c>
      <c r="G32" s="77">
        <f t="shared" si="35"/>
        <v>0</v>
      </c>
      <c r="H32" s="77">
        <f t="shared" si="35"/>
        <v>0</v>
      </c>
      <c r="I32" s="77">
        <f t="shared" si="35"/>
        <v>0</v>
      </c>
      <c r="J32" s="77">
        <f t="shared" si="35"/>
        <v>0</v>
      </c>
      <c r="K32" s="81">
        <f t="shared" si="35"/>
        <v>0</v>
      </c>
      <c r="L32" s="77">
        <f t="shared" si="35"/>
        <v>0</v>
      </c>
      <c r="M32" s="77">
        <f t="shared" si="35"/>
        <v>0</v>
      </c>
      <c r="N32" s="77">
        <f t="shared" si="35"/>
        <v>0</v>
      </c>
      <c r="O32" s="77">
        <f t="shared" si="35"/>
        <v>0</v>
      </c>
      <c r="P32" s="136">
        <f t="shared" si="35"/>
        <v>0</v>
      </c>
      <c r="Q32" s="77">
        <f t="shared" si="35"/>
        <v>0</v>
      </c>
      <c r="R32" s="77">
        <f t="shared" si="35"/>
        <v>0</v>
      </c>
      <c r="S32" s="77">
        <f t="shared" si="35"/>
        <v>0</v>
      </c>
      <c r="T32" s="77">
        <f t="shared" si="35"/>
        <v>0</v>
      </c>
      <c r="U32" s="136">
        <f t="shared" si="35"/>
        <v>0</v>
      </c>
      <c r="V32" s="77">
        <f t="shared" si="35"/>
        <v>0</v>
      </c>
      <c r="W32" s="77">
        <f t="shared" si="35"/>
        <v>0</v>
      </c>
      <c r="X32" s="77">
        <f t="shared" si="35"/>
        <v>0</v>
      </c>
      <c r="Y32" s="77">
        <f t="shared" si="35"/>
        <v>0</v>
      </c>
      <c r="Z32" s="136">
        <f t="shared" si="35"/>
        <v>0</v>
      </c>
      <c r="AA32" s="77">
        <f t="shared" si="35"/>
        <v>503376</v>
      </c>
      <c r="AB32" s="77">
        <f t="shared" si="35"/>
        <v>437614</v>
      </c>
      <c r="AC32" s="77">
        <f t="shared" si="35"/>
        <v>470345</v>
      </c>
      <c r="AD32" s="77">
        <f t="shared" si="35"/>
        <v>661282</v>
      </c>
      <c r="AE32" s="136">
        <f t="shared" si="35"/>
        <v>2072617</v>
      </c>
      <c r="AF32" s="77">
        <f t="shared" si="35"/>
        <v>541077</v>
      </c>
      <c r="AG32" s="77">
        <f t="shared" ref="AG32:AJ32" si="36">SUM(AG29:AG30)</f>
        <v>551311</v>
      </c>
      <c r="AH32" s="77">
        <f t="shared" si="36"/>
        <v>508580</v>
      </c>
      <c r="AI32" s="77">
        <f t="shared" si="36"/>
        <v>653267</v>
      </c>
      <c r="AJ32" s="136">
        <f t="shared" si="36"/>
        <v>2254235</v>
      </c>
      <c r="AK32" s="77">
        <f>SUM(AK29:AK30)</f>
        <v>510567</v>
      </c>
      <c r="AL32" s="77">
        <f t="shared" ref="AL32" si="37">SUM(AL29:AL30)</f>
        <v>495090</v>
      </c>
      <c r="AM32" s="77">
        <f>SUM(AM29:AM31)</f>
        <v>446921</v>
      </c>
      <c r="AN32" s="77">
        <f>SUM(AN29:AN31)</f>
        <v>564425</v>
      </c>
      <c r="AO32" s="136">
        <f>SUM(AO29:AO31)</f>
        <v>2017003</v>
      </c>
    </row>
    <row r="33" spans="1:41" ht="15" customHeight="1" thickTop="1" x14ac:dyDescent="0.25">
      <c r="F33" s="9"/>
      <c r="K33" s="9"/>
      <c r="P33" s="137"/>
      <c r="U33" s="137"/>
      <c r="Z33" s="137"/>
      <c r="AE33" s="137"/>
      <c r="AJ33" s="137"/>
      <c r="AO33" s="137"/>
    </row>
    <row r="34" spans="1:41" ht="15" customHeight="1" x14ac:dyDescent="0.25">
      <c r="A34" s="1" t="s">
        <v>179</v>
      </c>
      <c r="F34" s="9"/>
      <c r="K34" s="9"/>
      <c r="P34" s="137"/>
      <c r="U34" s="137"/>
      <c r="Z34" s="137"/>
      <c r="AE34" s="137"/>
      <c r="AJ34" s="137"/>
      <c r="AO34" s="137"/>
    </row>
    <row r="35" spans="1:41" ht="15" customHeight="1" x14ac:dyDescent="0.25">
      <c r="A35" s="132" t="s">
        <v>181</v>
      </c>
      <c r="B35" s="39"/>
      <c r="C35" s="39"/>
      <c r="D35" s="39"/>
      <c r="E35" s="39"/>
      <c r="F35" s="50"/>
      <c r="G35" s="39"/>
      <c r="H35" s="39"/>
      <c r="I35" s="39"/>
      <c r="J35" s="39"/>
      <c r="K35" s="50"/>
      <c r="L35" s="39"/>
      <c r="M35" s="39"/>
      <c r="N35" s="39"/>
      <c r="O35" s="39"/>
      <c r="P35" s="134"/>
      <c r="Q35" s="39"/>
      <c r="R35" s="39"/>
      <c r="S35" s="39"/>
      <c r="T35" s="39"/>
      <c r="U35" s="134"/>
      <c r="V35" s="39"/>
      <c r="W35" s="39"/>
      <c r="X35" s="39"/>
      <c r="Y35" s="39"/>
      <c r="Z35" s="134"/>
      <c r="AA35" s="39">
        <v>-273057</v>
      </c>
      <c r="AB35" s="39">
        <v>-218990</v>
      </c>
      <c r="AC35" s="39">
        <v>-243616</v>
      </c>
      <c r="AD35" s="39">
        <v>-324017</v>
      </c>
      <c r="AE35" s="147">
        <f>SUM(AA35:AD35)</f>
        <v>-1059680</v>
      </c>
      <c r="AF35" s="39">
        <v>-290873</v>
      </c>
      <c r="AG35" s="39">
        <v>-294132</v>
      </c>
      <c r="AH35" s="39">
        <v>-276498</v>
      </c>
      <c r="AI35" s="39">
        <v>-349584</v>
      </c>
      <c r="AJ35" s="147">
        <f>SUM(AF35:AI35)</f>
        <v>-1211087</v>
      </c>
      <c r="AK35" s="39">
        <v>-277800</v>
      </c>
      <c r="AL35" s="39">
        <v>-262454</v>
      </c>
      <c r="AM35" s="39">
        <v>-229266</v>
      </c>
      <c r="AN35" s="39">
        <v>-278302</v>
      </c>
      <c r="AO35" s="147">
        <f>SUM(AK35:AN35)</f>
        <v>-1047822</v>
      </c>
    </row>
    <row r="36" spans="1:41" ht="15" customHeight="1" x14ac:dyDescent="0.25">
      <c r="A36" s="132" t="s">
        <v>182</v>
      </c>
      <c r="B36" s="39"/>
      <c r="C36" s="39"/>
      <c r="D36" s="39"/>
      <c r="E36" s="39"/>
      <c r="F36" s="50"/>
      <c r="G36" s="39"/>
      <c r="H36" s="39"/>
      <c r="I36" s="39"/>
      <c r="J36" s="39"/>
      <c r="K36" s="50"/>
      <c r="L36" s="39"/>
      <c r="M36" s="39"/>
      <c r="N36" s="39"/>
      <c r="O36" s="39"/>
      <c r="P36" s="134"/>
      <c r="Q36" s="39"/>
      <c r="R36" s="39"/>
      <c r="S36" s="39"/>
      <c r="T36" s="39"/>
      <c r="U36" s="134"/>
      <c r="V36" s="39"/>
      <c r="W36" s="39"/>
      <c r="X36" s="39"/>
      <c r="Y36" s="39"/>
      <c r="Z36" s="134"/>
      <c r="AA36" s="39">
        <v>-24307</v>
      </c>
      <c r="AB36" s="39">
        <v>-38708</v>
      </c>
      <c r="AC36" s="39">
        <v>-40785</v>
      </c>
      <c r="AD36" s="39">
        <v>-84091</v>
      </c>
      <c r="AE36" s="148">
        <f>SUM(AA36:AD36)</f>
        <v>-187891</v>
      </c>
      <c r="AF36" s="39">
        <v>-36794</v>
      </c>
      <c r="AG36" s="39">
        <v>-36946</v>
      </c>
      <c r="AH36" s="39">
        <v>-21121</v>
      </c>
      <c r="AI36" s="39">
        <v>-27492</v>
      </c>
      <c r="AJ36" s="148">
        <f>SUM(AF36:AI36)</f>
        <v>-122353</v>
      </c>
      <c r="AK36" s="39">
        <v>-15850</v>
      </c>
      <c r="AL36" s="39">
        <v>-18111</v>
      </c>
      <c r="AM36" s="39">
        <v>-4277</v>
      </c>
      <c r="AN36" s="39">
        <v>-2719</v>
      </c>
      <c r="AO36" s="148">
        <f>SUM(AK36:AN36)</f>
        <v>-40957</v>
      </c>
    </row>
    <row r="37" spans="1:41" ht="15" customHeight="1" x14ac:dyDescent="0.25">
      <c r="A37" s="132" t="s">
        <v>183</v>
      </c>
      <c r="B37" s="39"/>
      <c r="C37" s="39"/>
      <c r="D37" s="39"/>
      <c r="E37" s="39"/>
      <c r="F37" s="50"/>
      <c r="G37" s="39"/>
      <c r="H37" s="39"/>
      <c r="I37" s="39"/>
      <c r="J37" s="39"/>
      <c r="K37" s="50"/>
      <c r="L37" s="39"/>
      <c r="M37" s="39"/>
      <c r="N37" s="39"/>
      <c r="O37" s="39"/>
      <c r="P37" s="134"/>
      <c r="Q37" s="39"/>
      <c r="R37" s="39"/>
      <c r="S37" s="39"/>
      <c r="T37" s="39"/>
      <c r="U37" s="134"/>
      <c r="V37" s="39"/>
      <c r="W37" s="39"/>
      <c r="X37" s="39"/>
      <c r="Y37" s="39"/>
      <c r="Z37" s="134"/>
      <c r="AA37" s="39"/>
      <c r="AB37" s="39"/>
      <c r="AC37" s="39"/>
      <c r="AD37" s="39"/>
      <c r="AE37" s="148"/>
      <c r="AF37" s="39"/>
      <c r="AG37" s="39"/>
      <c r="AH37" s="39"/>
      <c r="AI37" s="39"/>
      <c r="AJ37" s="148"/>
      <c r="AK37" s="39"/>
      <c r="AL37" s="39"/>
      <c r="AM37" s="39">
        <v>0</v>
      </c>
      <c r="AN37" s="39">
        <v>0</v>
      </c>
      <c r="AO37" s="148">
        <v>0</v>
      </c>
    </row>
    <row r="38" spans="1:41" ht="15" customHeight="1" thickBot="1" x14ac:dyDescent="0.3">
      <c r="A38" s="1" t="s">
        <v>178</v>
      </c>
      <c r="B38" s="77">
        <f t="shared" ref="B38:AF38" si="38">SUM(B35:B36)</f>
        <v>0</v>
      </c>
      <c r="C38" s="77">
        <f t="shared" si="38"/>
        <v>0</v>
      </c>
      <c r="D38" s="77">
        <f t="shared" si="38"/>
        <v>0</v>
      </c>
      <c r="E38" s="77">
        <f t="shared" si="38"/>
        <v>0</v>
      </c>
      <c r="F38" s="81">
        <f t="shared" si="38"/>
        <v>0</v>
      </c>
      <c r="G38" s="77">
        <f t="shared" si="38"/>
        <v>0</v>
      </c>
      <c r="H38" s="77">
        <f t="shared" si="38"/>
        <v>0</v>
      </c>
      <c r="I38" s="77">
        <f t="shared" si="38"/>
        <v>0</v>
      </c>
      <c r="J38" s="77">
        <f t="shared" si="38"/>
        <v>0</v>
      </c>
      <c r="K38" s="81">
        <f t="shared" si="38"/>
        <v>0</v>
      </c>
      <c r="L38" s="77">
        <f t="shared" si="38"/>
        <v>0</v>
      </c>
      <c r="M38" s="77">
        <f t="shared" si="38"/>
        <v>0</v>
      </c>
      <c r="N38" s="77">
        <f t="shared" si="38"/>
        <v>0</v>
      </c>
      <c r="O38" s="77">
        <f t="shared" si="38"/>
        <v>0</v>
      </c>
      <c r="P38" s="136">
        <f t="shared" si="38"/>
        <v>0</v>
      </c>
      <c r="Q38" s="77">
        <f t="shared" si="38"/>
        <v>0</v>
      </c>
      <c r="R38" s="77">
        <f t="shared" si="38"/>
        <v>0</v>
      </c>
      <c r="S38" s="77">
        <f t="shared" si="38"/>
        <v>0</v>
      </c>
      <c r="T38" s="77">
        <f t="shared" si="38"/>
        <v>0</v>
      </c>
      <c r="U38" s="136">
        <f t="shared" si="38"/>
        <v>0</v>
      </c>
      <c r="V38" s="77">
        <f t="shared" si="38"/>
        <v>0</v>
      </c>
      <c r="W38" s="77">
        <f t="shared" si="38"/>
        <v>0</v>
      </c>
      <c r="X38" s="77">
        <f t="shared" si="38"/>
        <v>0</v>
      </c>
      <c r="Y38" s="77">
        <f t="shared" si="38"/>
        <v>0</v>
      </c>
      <c r="Z38" s="136">
        <f t="shared" si="38"/>
        <v>0</v>
      </c>
      <c r="AA38" s="77">
        <f t="shared" si="38"/>
        <v>-297364</v>
      </c>
      <c r="AB38" s="77">
        <f t="shared" si="38"/>
        <v>-257698</v>
      </c>
      <c r="AC38" s="77">
        <f t="shared" si="38"/>
        <v>-284401</v>
      </c>
      <c r="AD38" s="77">
        <f t="shared" si="38"/>
        <v>-408108</v>
      </c>
      <c r="AE38" s="136">
        <f t="shared" si="38"/>
        <v>-1247571</v>
      </c>
      <c r="AF38" s="77">
        <f t="shared" si="38"/>
        <v>-327667</v>
      </c>
      <c r="AG38" s="77">
        <f t="shared" ref="AG38:AJ38" si="39">SUM(AG35:AG36)</f>
        <v>-331078</v>
      </c>
      <c r="AH38" s="77">
        <f t="shared" si="39"/>
        <v>-297619</v>
      </c>
      <c r="AI38" s="77">
        <f t="shared" si="39"/>
        <v>-377076</v>
      </c>
      <c r="AJ38" s="136">
        <f t="shared" si="39"/>
        <v>-1333440</v>
      </c>
      <c r="AK38" s="77">
        <f>SUM(AK35:AK36)</f>
        <v>-293650</v>
      </c>
      <c r="AL38" s="77">
        <f t="shared" ref="AL38" si="40">SUM(AL35:AL36)</f>
        <v>-280565</v>
      </c>
      <c r="AM38" s="77">
        <f>SUM(AM35:AM37)</f>
        <v>-233543</v>
      </c>
      <c r="AN38" s="77">
        <f>SUM(AN35:AN37)</f>
        <v>-281021</v>
      </c>
      <c r="AO38" s="136">
        <f>SUM(AO35:AO37)</f>
        <v>-1088779</v>
      </c>
    </row>
    <row r="39" spans="1:41" ht="15" customHeight="1" thickTop="1" x14ac:dyDescent="0.25">
      <c r="F39" s="9"/>
      <c r="K39" s="9"/>
      <c r="P39" s="137"/>
      <c r="U39" s="137"/>
      <c r="Z39" s="137"/>
      <c r="AE39" s="137"/>
      <c r="AJ39" s="137"/>
      <c r="AO39" s="137"/>
    </row>
    <row r="40" spans="1:41" ht="15" customHeight="1" x14ac:dyDescent="0.25">
      <c r="A40" s="1" t="s">
        <v>173</v>
      </c>
      <c r="F40" s="9"/>
      <c r="K40" s="9"/>
      <c r="P40" s="137"/>
      <c r="U40" s="137"/>
      <c r="Z40" s="137"/>
      <c r="AE40" s="137"/>
      <c r="AJ40" s="137"/>
      <c r="AO40" s="137"/>
    </row>
    <row r="41" spans="1:41" ht="15" customHeight="1" x14ac:dyDescent="0.25">
      <c r="A41" s="132" t="s">
        <v>181</v>
      </c>
      <c r="B41" s="78">
        <f t="shared" ref="B41:AF41" si="41">B29+B35</f>
        <v>0</v>
      </c>
      <c r="C41" s="78">
        <f t="shared" si="41"/>
        <v>0</v>
      </c>
      <c r="D41" s="78">
        <f t="shared" si="41"/>
        <v>0</v>
      </c>
      <c r="E41" s="78">
        <f t="shared" si="41"/>
        <v>0</v>
      </c>
      <c r="F41" s="82">
        <f t="shared" si="41"/>
        <v>0</v>
      </c>
      <c r="G41" s="78">
        <f t="shared" si="41"/>
        <v>0</v>
      </c>
      <c r="H41" s="78">
        <f t="shared" si="41"/>
        <v>0</v>
      </c>
      <c r="I41" s="78">
        <f t="shared" si="41"/>
        <v>0</v>
      </c>
      <c r="J41" s="78">
        <f t="shared" si="41"/>
        <v>0</v>
      </c>
      <c r="K41" s="82">
        <f t="shared" si="41"/>
        <v>0</v>
      </c>
      <c r="L41" s="78">
        <f t="shared" si="41"/>
        <v>0</v>
      </c>
      <c r="M41" s="78">
        <f t="shared" si="41"/>
        <v>0</v>
      </c>
      <c r="N41" s="78">
        <f t="shared" si="41"/>
        <v>0</v>
      </c>
      <c r="O41" s="78">
        <f t="shared" si="41"/>
        <v>0</v>
      </c>
      <c r="P41" s="138">
        <f t="shared" si="41"/>
        <v>0</v>
      </c>
      <c r="Q41" s="78">
        <f t="shared" si="41"/>
        <v>0</v>
      </c>
      <c r="R41" s="78">
        <f t="shared" si="41"/>
        <v>0</v>
      </c>
      <c r="S41" s="78">
        <f t="shared" si="41"/>
        <v>0</v>
      </c>
      <c r="T41" s="78">
        <f t="shared" si="41"/>
        <v>0</v>
      </c>
      <c r="U41" s="138">
        <f t="shared" si="41"/>
        <v>0</v>
      </c>
      <c r="V41" s="78">
        <f t="shared" si="41"/>
        <v>0</v>
      </c>
      <c r="W41" s="78">
        <f t="shared" si="41"/>
        <v>0</v>
      </c>
      <c r="X41" s="78">
        <f t="shared" si="41"/>
        <v>0</v>
      </c>
      <c r="Y41" s="78">
        <f t="shared" si="41"/>
        <v>0</v>
      </c>
      <c r="Z41" s="138">
        <f t="shared" si="41"/>
        <v>0</v>
      </c>
      <c r="AA41" s="78">
        <f t="shared" si="41"/>
        <v>196716</v>
      </c>
      <c r="AB41" s="78">
        <f t="shared" si="41"/>
        <v>162280</v>
      </c>
      <c r="AC41" s="78">
        <f t="shared" si="41"/>
        <v>168510</v>
      </c>
      <c r="AD41" s="78">
        <f t="shared" si="41"/>
        <v>219245</v>
      </c>
      <c r="AE41" s="138">
        <f t="shared" si="41"/>
        <v>746751</v>
      </c>
      <c r="AF41" s="78">
        <f t="shared" si="41"/>
        <v>192317</v>
      </c>
      <c r="AG41" s="78">
        <f t="shared" ref="AG41:AJ41" si="42">AG29+AG35</f>
        <v>193333</v>
      </c>
      <c r="AH41" s="78">
        <f t="shared" si="42"/>
        <v>182124</v>
      </c>
      <c r="AI41" s="78">
        <f t="shared" si="42"/>
        <v>228378</v>
      </c>
      <c r="AJ41" s="138">
        <f t="shared" si="42"/>
        <v>796152</v>
      </c>
      <c r="AK41" s="78">
        <f>AK29+AK35</f>
        <v>186088</v>
      </c>
      <c r="AL41" s="78">
        <f t="shared" ref="AL41:AO41" si="43">AL29+AL35</f>
        <v>177969</v>
      </c>
      <c r="AM41" s="78">
        <f t="shared" si="43"/>
        <v>158022</v>
      </c>
      <c r="AN41" s="78">
        <f t="shared" si="43"/>
        <v>192616</v>
      </c>
      <c r="AO41" s="138">
        <f t="shared" si="43"/>
        <v>714695</v>
      </c>
    </row>
    <row r="42" spans="1:41" ht="15" customHeight="1" x14ac:dyDescent="0.25">
      <c r="A42" s="132" t="s">
        <v>182</v>
      </c>
      <c r="B42" s="78">
        <f t="shared" ref="B42:AF42" si="44">B30+B36</f>
        <v>0</v>
      </c>
      <c r="C42" s="78">
        <f t="shared" si="44"/>
        <v>0</v>
      </c>
      <c r="D42" s="78">
        <f t="shared" si="44"/>
        <v>0</v>
      </c>
      <c r="E42" s="78">
        <f t="shared" si="44"/>
        <v>0</v>
      </c>
      <c r="F42" s="82">
        <f t="shared" si="44"/>
        <v>0</v>
      </c>
      <c r="G42" s="78">
        <f t="shared" si="44"/>
        <v>0</v>
      </c>
      <c r="H42" s="78">
        <f t="shared" si="44"/>
        <v>0</v>
      </c>
      <c r="I42" s="78">
        <f t="shared" si="44"/>
        <v>0</v>
      </c>
      <c r="J42" s="78">
        <f t="shared" si="44"/>
        <v>0</v>
      </c>
      <c r="K42" s="82">
        <f t="shared" si="44"/>
        <v>0</v>
      </c>
      <c r="L42" s="78">
        <f t="shared" si="44"/>
        <v>0</v>
      </c>
      <c r="M42" s="78">
        <f t="shared" si="44"/>
        <v>0</v>
      </c>
      <c r="N42" s="78">
        <f t="shared" si="44"/>
        <v>0</v>
      </c>
      <c r="O42" s="78">
        <f t="shared" si="44"/>
        <v>0</v>
      </c>
      <c r="P42" s="138">
        <f t="shared" si="44"/>
        <v>0</v>
      </c>
      <c r="Q42" s="78">
        <f t="shared" si="44"/>
        <v>0</v>
      </c>
      <c r="R42" s="78">
        <f t="shared" si="44"/>
        <v>0</v>
      </c>
      <c r="S42" s="78">
        <f t="shared" si="44"/>
        <v>0</v>
      </c>
      <c r="T42" s="78">
        <f t="shared" si="44"/>
        <v>0</v>
      </c>
      <c r="U42" s="138">
        <f t="shared" si="44"/>
        <v>0</v>
      </c>
      <c r="V42" s="78">
        <f t="shared" si="44"/>
        <v>0</v>
      </c>
      <c r="W42" s="78">
        <f t="shared" si="44"/>
        <v>0</v>
      </c>
      <c r="X42" s="78">
        <f t="shared" si="44"/>
        <v>0</v>
      </c>
      <c r="Y42" s="78">
        <f t="shared" si="44"/>
        <v>0</v>
      </c>
      <c r="Z42" s="138">
        <f t="shared" si="44"/>
        <v>0</v>
      </c>
      <c r="AA42" s="78">
        <f t="shared" si="44"/>
        <v>9296</v>
      </c>
      <c r="AB42" s="78">
        <f t="shared" si="44"/>
        <v>17636</v>
      </c>
      <c r="AC42" s="78">
        <f t="shared" si="44"/>
        <v>17434</v>
      </c>
      <c r="AD42" s="78">
        <f t="shared" si="44"/>
        <v>33929</v>
      </c>
      <c r="AE42" s="138">
        <f t="shared" si="44"/>
        <v>78295</v>
      </c>
      <c r="AF42" s="78">
        <f t="shared" si="44"/>
        <v>21093</v>
      </c>
      <c r="AG42" s="78">
        <f t="shared" ref="AG42:AJ42" si="45">AG30+AG36</f>
        <v>26900</v>
      </c>
      <c r="AH42" s="78">
        <f t="shared" si="45"/>
        <v>28837</v>
      </c>
      <c r="AI42" s="78">
        <f t="shared" si="45"/>
        <v>47813</v>
      </c>
      <c r="AJ42" s="138">
        <f t="shared" si="45"/>
        <v>124643</v>
      </c>
      <c r="AK42" s="78">
        <f>AK30+AK36</f>
        <v>30829</v>
      </c>
      <c r="AL42" s="78">
        <f t="shared" ref="AL42:AO42" si="46">AL30+AL36</f>
        <v>36556</v>
      </c>
      <c r="AM42" s="78">
        <f t="shared" si="46"/>
        <v>36893</v>
      </c>
      <c r="AN42" s="78">
        <f t="shared" si="46"/>
        <v>57082</v>
      </c>
      <c r="AO42" s="138">
        <f t="shared" si="46"/>
        <v>161360</v>
      </c>
    </row>
    <row r="43" spans="1:41" ht="15" customHeight="1" x14ac:dyDescent="0.25">
      <c r="A43" s="132" t="s">
        <v>183</v>
      </c>
      <c r="B43" s="78"/>
      <c r="C43" s="78"/>
      <c r="D43" s="78"/>
      <c r="E43" s="78"/>
      <c r="F43" s="82"/>
      <c r="G43" s="78"/>
      <c r="H43" s="78"/>
      <c r="I43" s="78"/>
      <c r="J43" s="78"/>
      <c r="K43" s="82"/>
      <c r="L43" s="78"/>
      <c r="M43" s="78"/>
      <c r="N43" s="78"/>
      <c r="O43" s="78"/>
      <c r="P43" s="138"/>
      <c r="Q43" s="78"/>
      <c r="R43" s="78"/>
      <c r="S43" s="78"/>
      <c r="T43" s="78"/>
      <c r="U43" s="138"/>
      <c r="V43" s="78"/>
      <c r="W43" s="78"/>
      <c r="X43" s="78"/>
      <c r="Y43" s="78"/>
      <c r="Z43" s="138"/>
      <c r="AA43" s="78"/>
      <c r="AB43" s="78"/>
      <c r="AC43" s="78"/>
      <c r="AD43" s="78"/>
      <c r="AE43" s="138"/>
      <c r="AF43" s="78"/>
      <c r="AG43" s="78"/>
      <c r="AH43" s="78"/>
      <c r="AI43" s="78"/>
      <c r="AJ43" s="138"/>
      <c r="AK43" s="78"/>
      <c r="AL43" s="78"/>
      <c r="AM43" s="78">
        <f>AM31+AM37</f>
        <v>18463</v>
      </c>
      <c r="AN43" s="78">
        <f>AN31+AN37</f>
        <v>33706</v>
      </c>
      <c r="AO43" s="138">
        <f>AO31+AO37</f>
        <v>52169</v>
      </c>
    </row>
    <row r="44" spans="1:41" ht="15" customHeight="1" thickBot="1" x14ac:dyDescent="0.3">
      <c r="A44" s="1" t="s">
        <v>178</v>
      </c>
      <c r="B44" s="79">
        <f t="shared" ref="B44:AF44" si="47">SUM(B41:B42)</f>
        <v>0</v>
      </c>
      <c r="C44" s="79">
        <f t="shared" si="47"/>
        <v>0</v>
      </c>
      <c r="D44" s="79">
        <f t="shared" si="47"/>
        <v>0</v>
      </c>
      <c r="E44" s="79">
        <f t="shared" si="47"/>
        <v>0</v>
      </c>
      <c r="F44" s="83">
        <f t="shared" si="47"/>
        <v>0</v>
      </c>
      <c r="G44" s="79">
        <f t="shared" si="47"/>
        <v>0</v>
      </c>
      <c r="H44" s="79">
        <f t="shared" si="47"/>
        <v>0</v>
      </c>
      <c r="I44" s="79">
        <f t="shared" si="47"/>
        <v>0</v>
      </c>
      <c r="J44" s="79">
        <f t="shared" si="47"/>
        <v>0</v>
      </c>
      <c r="K44" s="83">
        <f t="shared" si="47"/>
        <v>0</v>
      </c>
      <c r="L44" s="79">
        <f t="shared" si="47"/>
        <v>0</v>
      </c>
      <c r="M44" s="79">
        <f t="shared" si="47"/>
        <v>0</v>
      </c>
      <c r="N44" s="79">
        <f t="shared" si="47"/>
        <v>0</v>
      </c>
      <c r="O44" s="79">
        <f t="shared" si="47"/>
        <v>0</v>
      </c>
      <c r="P44" s="139">
        <f t="shared" si="47"/>
        <v>0</v>
      </c>
      <c r="Q44" s="79">
        <f t="shared" si="47"/>
        <v>0</v>
      </c>
      <c r="R44" s="79">
        <f t="shared" si="47"/>
        <v>0</v>
      </c>
      <c r="S44" s="79">
        <f t="shared" si="47"/>
        <v>0</v>
      </c>
      <c r="T44" s="79">
        <f t="shared" si="47"/>
        <v>0</v>
      </c>
      <c r="U44" s="139">
        <f t="shared" si="47"/>
        <v>0</v>
      </c>
      <c r="V44" s="79">
        <f t="shared" si="47"/>
        <v>0</v>
      </c>
      <c r="W44" s="79">
        <f t="shared" si="47"/>
        <v>0</v>
      </c>
      <c r="X44" s="79">
        <f t="shared" si="47"/>
        <v>0</v>
      </c>
      <c r="Y44" s="79">
        <f t="shared" si="47"/>
        <v>0</v>
      </c>
      <c r="Z44" s="139">
        <f t="shared" si="47"/>
        <v>0</v>
      </c>
      <c r="AA44" s="79">
        <f t="shared" si="47"/>
        <v>206012</v>
      </c>
      <c r="AB44" s="79">
        <f t="shared" si="47"/>
        <v>179916</v>
      </c>
      <c r="AC44" s="79">
        <f t="shared" si="47"/>
        <v>185944</v>
      </c>
      <c r="AD44" s="79">
        <f t="shared" si="47"/>
        <v>253174</v>
      </c>
      <c r="AE44" s="139">
        <f t="shared" si="47"/>
        <v>825046</v>
      </c>
      <c r="AF44" s="79">
        <f t="shared" si="47"/>
        <v>213410</v>
      </c>
      <c r="AG44" s="79">
        <f t="shared" ref="AG44:AJ44" si="48">SUM(AG41:AG42)</f>
        <v>220233</v>
      </c>
      <c r="AH44" s="79">
        <f t="shared" si="48"/>
        <v>210961</v>
      </c>
      <c r="AI44" s="79">
        <f t="shared" si="48"/>
        <v>276191</v>
      </c>
      <c r="AJ44" s="139">
        <f t="shared" si="48"/>
        <v>920795</v>
      </c>
      <c r="AK44" s="79">
        <f>SUM(AK41:AK42)</f>
        <v>216917</v>
      </c>
      <c r="AL44" s="79">
        <f t="shared" ref="AL44" si="49">SUM(AL41:AL42)</f>
        <v>214525</v>
      </c>
      <c r="AM44" s="79">
        <f>SUM(AM41:AM43)</f>
        <v>213378</v>
      </c>
      <c r="AN44" s="79">
        <f>SUM(AN41:AN43)</f>
        <v>283404</v>
      </c>
      <c r="AO44" s="139">
        <f>SUM(AO41:AO43)</f>
        <v>928224</v>
      </c>
    </row>
    <row r="45" spans="1:41" ht="15" customHeight="1" thickTop="1" x14ac:dyDescent="0.25">
      <c r="F45" s="9"/>
      <c r="K45" s="9"/>
      <c r="P45" s="100"/>
      <c r="U45" s="100"/>
      <c r="Z45" s="100"/>
      <c r="AE45" s="100"/>
      <c r="AJ45" s="100"/>
      <c r="AO45" s="100"/>
    </row>
    <row r="46" spans="1:41" ht="15" customHeight="1" x14ac:dyDescent="0.25"/>
    <row r="47" spans="1:41" ht="290.85000000000002" customHeight="1" x14ac:dyDescent="0.25">
      <c r="A47" s="281" t="s">
        <v>184</v>
      </c>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150"/>
      <c r="AL47" s="150"/>
      <c r="AM47" s="150"/>
      <c r="AN47" s="150"/>
      <c r="AO47" s="150"/>
    </row>
    <row r="48" spans="1:4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sheetData>
  <mergeCells count="1">
    <mergeCell ref="A47:AJ47"/>
  </mergeCells>
  <phoneticPr fontId="15"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P83"/>
  <sheetViews>
    <sheetView showGridLines="0" zoomScaleNormal="100" workbookViewId="0">
      <pane xSplit="11" topLeftCell="AK1" activePane="topRight" state="frozen"/>
      <selection pane="topRight" activeCell="AQ1" sqref="AQ1:AR1048576"/>
    </sheetView>
  </sheetViews>
  <sheetFormatPr defaultColWidth="12.6640625" defaultRowHeight="13.2" outlineLevelCol="1" x14ac:dyDescent="0.25"/>
  <cols>
    <col min="1" max="1" width="59.33203125" style="2" customWidth="1"/>
    <col min="2" max="11" width="12.6640625" style="2" hidden="1" customWidth="1" outlineLevel="1"/>
    <col min="12" max="12" width="12.6640625" style="2" hidden="1" customWidth="1" outlineLevel="1" collapsed="1"/>
    <col min="13" max="13" width="12.6640625" style="2" hidden="1" customWidth="1" outlineLevel="1"/>
    <col min="14" max="14" width="12.6640625" style="2" hidden="1" customWidth="1" outlineLevel="1" collapsed="1"/>
    <col min="15" max="18" width="12.6640625" style="2" hidden="1" customWidth="1" outlineLevel="1"/>
    <col min="19" max="19" width="0" style="2" hidden="1" customWidth="1" outlineLevel="1"/>
    <col min="20" max="20" width="0" style="2" hidden="1" customWidth="1" collapsed="1"/>
    <col min="21" max="28" width="0" style="2" hidden="1" customWidth="1"/>
    <col min="29" max="41" width="12.6640625" style="2"/>
    <col min="42" max="42" width="12.33203125" style="161" bestFit="1" customWidth="1"/>
    <col min="43" max="16384" width="12.6640625" style="2"/>
  </cols>
  <sheetData>
    <row r="1" spans="1:42" x14ac:dyDescent="0.25">
      <c r="A1" s="10" t="s">
        <v>185</v>
      </c>
    </row>
    <row r="2" spans="1:42" x14ac:dyDescent="0.25">
      <c r="A2" s="5" t="s">
        <v>4</v>
      </c>
    </row>
    <row r="3" spans="1:42" ht="15" customHeight="1" x14ac:dyDescent="0.25">
      <c r="A3" s="17"/>
      <c r="B3" s="14" t="s">
        <v>61</v>
      </c>
      <c r="C3" s="14" t="s">
        <v>62</v>
      </c>
      <c r="D3" s="14" t="s">
        <v>63</v>
      </c>
      <c r="E3" s="14" t="s">
        <v>64</v>
      </c>
      <c r="F3" s="15" t="s">
        <v>65</v>
      </c>
      <c r="G3" s="14" t="s">
        <v>66</v>
      </c>
      <c r="H3" s="14" t="s">
        <v>67</v>
      </c>
      <c r="I3" s="14" t="s">
        <v>68</v>
      </c>
      <c r="J3" s="14" t="s">
        <v>69</v>
      </c>
      <c r="K3" s="15" t="s">
        <v>70</v>
      </c>
      <c r="L3" s="14" t="s">
        <v>71</v>
      </c>
      <c r="M3" s="14" t="s">
        <v>72</v>
      </c>
      <c r="N3" s="14" t="s">
        <v>73</v>
      </c>
      <c r="O3" s="14" t="s">
        <v>74</v>
      </c>
      <c r="P3" s="115" t="s">
        <v>75</v>
      </c>
      <c r="Q3" s="14" t="s">
        <v>76</v>
      </c>
      <c r="R3" s="14" t="s">
        <v>77</v>
      </c>
      <c r="S3" s="14" t="s">
        <v>78</v>
      </c>
      <c r="T3" s="14" t="s">
        <v>79</v>
      </c>
      <c r="U3" s="115" t="s">
        <v>80</v>
      </c>
      <c r="V3" s="14" t="s">
        <v>81</v>
      </c>
      <c r="W3" s="14" t="s">
        <v>82</v>
      </c>
      <c r="X3" s="14" t="s">
        <v>83</v>
      </c>
      <c r="Y3" s="14" t="s">
        <v>84</v>
      </c>
      <c r="Z3" s="115" t="s">
        <v>85</v>
      </c>
      <c r="AA3" s="14" t="s">
        <v>86</v>
      </c>
      <c r="AB3" s="14" t="s">
        <v>87</v>
      </c>
      <c r="AC3" s="14" t="s">
        <v>88</v>
      </c>
      <c r="AD3" s="14" t="s">
        <v>89</v>
      </c>
      <c r="AE3" s="115" t="s">
        <v>90</v>
      </c>
      <c r="AF3" s="14" t="s">
        <v>91</v>
      </c>
      <c r="AG3" s="14" t="s">
        <v>92</v>
      </c>
      <c r="AH3" s="14" t="s">
        <v>93</v>
      </c>
      <c r="AI3" s="14" t="s">
        <v>94</v>
      </c>
      <c r="AJ3" s="115" t="s">
        <v>95</v>
      </c>
      <c r="AK3" s="14" t="s">
        <v>96</v>
      </c>
      <c r="AL3" s="14" t="s">
        <v>97</v>
      </c>
      <c r="AM3" s="14" t="s">
        <v>98</v>
      </c>
      <c r="AN3" s="14" t="s">
        <v>99</v>
      </c>
      <c r="AO3" s="115" t="s">
        <v>100</v>
      </c>
      <c r="AP3" s="162"/>
    </row>
    <row r="4" spans="1:42" ht="15" customHeight="1" x14ac:dyDescent="0.25">
      <c r="A4" s="1" t="s">
        <v>186</v>
      </c>
      <c r="B4" s="67">
        <f>'P&amp;L'!B14</f>
        <v>-17846</v>
      </c>
      <c r="C4" s="67">
        <f>'P&amp;L'!C14</f>
        <v>-19853</v>
      </c>
      <c r="D4" s="67">
        <f>'P&amp;L'!D14</f>
        <v>-22442</v>
      </c>
      <c r="E4" s="67">
        <f>'P&amp;L'!E14</f>
        <v>-26665</v>
      </c>
      <c r="F4" s="72">
        <f>'P&amp;L'!F14</f>
        <v>-86807</v>
      </c>
      <c r="G4" s="67">
        <f>'P&amp;L'!G14</f>
        <v>-27162</v>
      </c>
      <c r="H4" s="67">
        <f>'P&amp;L'!H14</f>
        <v>-30235</v>
      </c>
      <c r="I4" s="67">
        <f>'P&amp;L'!I14</f>
        <v>-30701</v>
      </c>
      <c r="J4" s="67">
        <f>'P&amp;L'!J14</f>
        <v>-35552</v>
      </c>
      <c r="K4" s="72">
        <f>'P&amp;L'!K14</f>
        <v>-123649</v>
      </c>
      <c r="L4" s="67">
        <f>'P&amp;L'!L14</f>
        <v>-39521</v>
      </c>
      <c r="M4" s="67">
        <f>'P&amp;L'!M14</f>
        <v>-43611</v>
      </c>
      <c r="N4" s="67">
        <f>'P&amp;L'!N14</f>
        <v>-43860</v>
      </c>
      <c r="O4" s="67">
        <f>'P&amp;L'!O14</f>
        <v>-46933</v>
      </c>
      <c r="P4" s="140">
        <f>'P&amp;L'!P14</f>
        <v>-173925</v>
      </c>
      <c r="Q4" s="67">
        <f>'P&amp;L'!Q14</f>
        <v>-45318</v>
      </c>
      <c r="R4" s="67">
        <f>'P&amp;L'!R14</f>
        <v>-47544</v>
      </c>
      <c r="S4" s="67">
        <f>'P&amp;L'!S14</f>
        <v>-41796</v>
      </c>
      <c r="T4" s="67">
        <f>'P&amp;L'!T14</f>
        <v>-44605</v>
      </c>
      <c r="U4" s="140">
        <f>'P&amp;L'!U14</f>
        <v>-179263</v>
      </c>
      <c r="V4" s="67">
        <f>'P&amp;L'!V14</f>
        <v>-46577</v>
      </c>
      <c r="W4" s="67">
        <f>'P&amp;L'!W14</f>
        <v>-44015</v>
      </c>
      <c r="X4" s="67">
        <f>'P&amp;L'!X14</f>
        <v>-41414</v>
      </c>
      <c r="Y4" s="67">
        <f>'P&amp;L'!Y14</f>
        <v>-40585</v>
      </c>
      <c r="Z4" s="140">
        <f>'P&amp;L'!Z14</f>
        <v>-172591</v>
      </c>
      <c r="AA4" s="67">
        <f>'P&amp;L'!AA14</f>
        <v>-37515</v>
      </c>
      <c r="AB4" s="67">
        <f>'P&amp;L'!AB14</f>
        <v>-31247</v>
      </c>
      <c r="AC4" s="67">
        <f>'P&amp;L'!AC14</f>
        <v>-30954</v>
      </c>
      <c r="AD4" s="67">
        <f>'P&amp;L'!AD14</f>
        <v>-32797</v>
      </c>
      <c r="AE4" s="140">
        <f>'P&amp;L'!AE14</f>
        <v>-132513</v>
      </c>
      <c r="AF4" s="67">
        <f>'P&amp;L'!AF14</f>
        <v>-31697</v>
      </c>
      <c r="AG4" s="67">
        <f>'P&amp;L'!AG14</f>
        <v>-41915</v>
      </c>
      <c r="AH4" s="67">
        <f>'P&amp;L'!AH14</f>
        <v>-33345</v>
      </c>
      <c r="AI4" s="67">
        <f>'P&amp;L'!AI14</f>
        <v>-44860</v>
      </c>
      <c r="AJ4" s="140">
        <f>'P&amp;L'!AJ14</f>
        <v>-151817</v>
      </c>
      <c r="AK4" s="67">
        <f>'P&amp;L'!AK14</f>
        <v>-34027</v>
      </c>
      <c r="AL4" s="67">
        <f>'P&amp;L'!AL14</f>
        <v>-41496</v>
      </c>
      <c r="AM4" s="67">
        <f>'P&amp;L'!AM14</f>
        <v>-42725</v>
      </c>
      <c r="AN4" s="67">
        <f>'P&amp;L'!AN14</f>
        <v>-69348</v>
      </c>
      <c r="AO4" s="140">
        <f>'P&amp;L'!AO14</f>
        <v>-187596</v>
      </c>
      <c r="AP4" s="276"/>
    </row>
    <row r="5" spans="1:42" ht="15" customHeight="1" x14ac:dyDescent="0.25">
      <c r="A5" s="16" t="s">
        <v>187</v>
      </c>
      <c r="B5" s="38">
        <f>'Reconciliation Adj EBITDA'!B9</f>
        <v>1478</v>
      </c>
      <c r="C5" s="38">
        <f>'Reconciliation Adj EBITDA'!C9</f>
        <v>1162</v>
      </c>
      <c r="D5" s="38">
        <f>'Reconciliation Adj EBITDA'!D9</f>
        <v>1714</v>
      </c>
      <c r="E5" s="38">
        <f>'Reconciliation Adj EBITDA'!E9</f>
        <v>2167</v>
      </c>
      <c r="F5" s="49">
        <f>'Reconciliation Adj EBITDA'!F9</f>
        <v>6520</v>
      </c>
      <c r="G5" s="38">
        <f>'Reconciliation Adj EBITDA'!G9</f>
        <v>2402</v>
      </c>
      <c r="H5" s="38">
        <f>'Reconciliation Adj EBITDA'!H9</f>
        <v>2179</v>
      </c>
      <c r="I5" s="38">
        <f>'Reconciliation Adj EBITDA'!I9</f>
        <v>4667</v>
      </c>
      <c r="J5" s="38">
        <f>'Reconciliation Adj EBITDA'!J9</f>
        <v>2860</v>
      </c>
      <c r="K5" s="49">
        <f>'Reconciliation Adj EBITDA'!K9</f>
        <v>12108</v>
      </c>
      <c r="L5" s="38">
        <f>'Reconciliation Adj EBITDA'!L9</f>
        <v>3916</v>
      </c>
      <c r="M5" s="38">
        <f>'Reconciliation Adj EBITDA'!M9</f>
        <v>4461</v>
      </c>
      <c r="N5" s="38">
        <f>'Reconciliation Adj EBITDA'!N9</f>
        <v>6361</v>
      </c>
      <c r="O5" s="38">
        <f>'Reconciliation Adj EBITDA'!O9</f>
        <v>6355</v>
      </c>
      <c r="P5" s="105">
        <f>'Reconciliation Adj EBITDA'!P9</f>
        <v>21093</v>
      </c>
      <c r="Q5" s="38">
        <f>'Reconciliation Adj EBITDA'!Q9</f>
        <v>4555</v>
      </c>
      <c r="R5" s="38">
        <f>'Reconciliation Adj EBITDA'!R9</f>
        <v>6771</v>
      </c>
      <c r="S5" s="38">
        <f>'Reconciliation Adj EBITDA'!S9</f>
        <v>4901</v>
      </c>
      <c r="T5" s="38">
        <f>'Reconciliation Adj EBITDA'!T9</f>
        <v>5005</v>
      </c>
      <c r="U5" s="105">
        <f>'Reconciliation Adj EBITDA'!U9</f>
        <v>21232</v>
      </c>
      <c r="V5" s="38">
        <f>'Reconciliation Adj EBITDA'!V9</f>
        <v>4025</v>
      </c>
      <c r="W5" s="38">
        <f>'Reconciliation Adj EBITDA'!W9</f>
        <v>4203</v>
      </c>
      <c r="X5" s="38">
        <f>'Reconciliation Adj EBITDA'!X9</f>
        <v>3230</v>
      </c>
      <c r="Y5" s="38">
        <f>'Reconciliation Adj EBITDA'!Y9</f>
        <v>3578</v>
      </c>
      <c r="Z5" s="105">
        <f>'Reconciliation Adj EBITDA'!Z9</f>
        <v>15036</v>
      </c>
      <c r="AA5" s="38">
        <f>'Reconciliation Adj EBITDA'!AA9</f>
        <v>2370</v>
      </c>
      <c r="AB5" s="38">
        <f>'Reconciliation Adj EBITDA'!AB9</f>
        <v>2068</v>
      </c>
      <c r="AC5" s="38">
        <f>'Reconciliation Adj EBITDA'!AC9</f>
        <v>3333</v>
      </c>
      <c r="AD5" s="38">
        <f>'Reconciliation Adj EBITDA'!AD9</f>
        <v>2482</v>
      </c>
      <c r="AE5" s="105">
        <f>'Reconciliation Adj EBITDA'!AE9</f>
        <v>10253</v>
      </c>
      <c r="AF5" s="38">
        <f>'Reconciliation Adj EBITDA'!AF9</f>
        <v>2496</v>
      </c>
      <c r="AG5" s="38">
        <f>'Reconciliation Adj EBITDA'!AG9</f>
        <v>4218</v>
      </c>
      <c r="AH5" s="38">
        <f>'Reconciliation Adj EBITDA'!AH9</f>
        <v>4858</v>
      </c>
      <c r="AI5" s="38">
        <f>'Reconciliation Adj EBITDA'!AI9</f>
        <v>4762</v>
      </c>
      <c r="AJ5" s="105">
        <f>'Reconciliation Adj EBITDA'!AJ9</f>
        <v>16334</v>
      </c>
      <c r="AK5" s="38">
        <f>'Reconciliation Adj EBITDA'!AK9</f>
        <v>3967</v>
      </c>
      <c r="AL5" s="38">
        <f>'Reconciliation Adj EBITDA'!AL9</f>
        <v>5578</v>
      </c>
      <c r="AM5" s="38">
        <f>'Reconciliation Adj EBITDA'!AM9</f>
        <v>11621</v>
      </c>
      <c r="AN5" s="38">
        <f>'Reconciliation Adj EBITDA'!AN9</f>
        <v>15348</v>
      </c>
      <c r="AO5" s="105">
        <f>'Reconciliation Adj EBITDA'!AO9</f>
        <v>36514</v>
      </c>
      <c r="AP5" s="277"/>
    </row>
    <row r="6" spans="1:42" ht="15" customHeight="1" x14ac:dyDescent="0.25">
      <c r="A6" s="16" t="s">
        <v>188</v>
      </c>
      <c r="B6" s="38">
        <f>'Reconciliation Adj EBITDA'!B18</f>
        <v>1144</v>
      </c>
      <c r="C6" s="38">
        <f>'Reconciliation Adj EBITDA'!C18</f>
        <v>1977</v>
      </c>
      <c r="D6" s="38">
        <f>'Reconciliation Adj EBITDA'!D18</f>
        <v>1690</v>
      </c>
      <c r="E6" s="38">
        <f>'Reconciliation Adj EBITDA'!E18</f>
        <v>3183</v>
      </c>
      <c r="F6" s="49">
        <f>'Reconciliation Adj EBITDA'!F18</f>
        <v>7995</v>
      </c>
      <c r="G6" s="38">
        <f>'Reconciliation Adj EBITDA'!G18</f>
        <v>2007</v>
      </c>
      <c r="H6" s="38">
        <f>'Reconciliation Adj EBITDA'!H18</f>
        <v>1457</v>
      </c>
      <c r="I6" s="38">
        <f>'Reconciliation Adj EBITDA'!I18</f>
        <v>1640</v>
      </c>
      <c r="J6" s="38">
        <f>'Reconciliation Adj EBITDA'!J18</f>
        <v>2106</v>
      </c>
      <c r="K6" s="49">
        <f>'Reconciliation Adj EBITDA'!K18</f>
        <v>7211</v>
      </c>
      <c r="L6" s="38">
        <f>'Reconciliation Adj EBITDA'!L18</f>
        <v>2944</v>
      </c>
      <c r="M6" s="38">
        <f>'Reconciliation Adj EBITDA'!M18</f>
        <v>3092</v>
      </c>
      <c r="N6" s="38">
        <f>'Reconciliation Adj EBITDA'!N18</f>
        <v>2822</v>
      </c>
      <c r="O6" s="38">
        <f>'Reconciliation Adj EBITDA'!O18</f>
        <v>2369</v>
      </c>
      <c r="P6" s="105">
        <f>'Reconciliation Adj EBITDA'!P18</f>
        <v>11226</v>
      </c>
      <c r="Q6" s="38">
        <f>'Reconciliation Adj EBITDA'!Q18</f>
        <v>2221</v>
      </c>
      <c r="R6" s="38">
        <f>'Reconciliation Adj EBITDA'!R18</f>
        <v>2245</v>
      </c>
      <c r="S6" s="38">
        <f>'Reconciliation Adj EBITDA'!S18</f>
        <v>2724</v>
      </c>
      <c r="T6" s="38">
        <f>'Reconciliation Adj EBITDA'!T18</f>
        <v>3412</v>
      </c>
      <c r="U6" s="105">
        <f>'Reconciliation Adj EBITDA'!U18</f>
        <v>10602</v>
      </c>
      <c r="V6" s="38">
        <f>'Reconciliation Adj EBITDA'!V18</f>
        <v>3477</v>
      </c>
      <c r="W6" s="38">
        <f>'Reconciliation Adj EBITDA'!W18</f>
        <v>3534</v>
      </c>
      <c r="X6" s="38">
        <f>'Reconciliation Adj EBITDA'!X18</f>
        <v>4249</v>
      </c>
      <c r="Y6" s="38">
        <f>'Reconciliation Adj EBITDA'!Y18</f>
        <v>5248</v>
      </c>
      <c r="Z6" s="105">
        <f>'Reconciliation Adj EBITDA'!Z18</f>
        <v>16508</v>
      </c>
      <c r="AA6" s="38">
        <f>'Reconciliation Adj EBITDA'!AA18</f>
        <v>5650</v>
      </c>
      <c r="AB6" s="38">
        <f>'Reconciliation Adj EBITDA'!AB18</f>
        <v>1658</v>
      </c>
      <c r="AC6" s="38">
        <f>'Reconciliation Adj EBITDA'!AC18</f>
        <v>1721</v>
      </c>
      <c r="AD6" s="38">
        <f>'Reconciliation Adj EBITDA'!AD18</f>
        <v>1712</v>
      </c>
      <c r="AE6" s="105">
        <f>'Reconciliation Adj EBITDA'!AE18</f>
        <v>10741</v>
      </c>
      <c r="AF6" s="38">
        <f>'Reconciliation Adj EBITDA'!AF18</f>
        <v>1753</v>
      </c>
      <c r="AG6" s="38">
        <f>'Reconciliation Adj EBITDA'!AG18</f>
        <v>2207</v>
      </c>
      <c r="AH6" s="38">
        <f>'Reconciliation Adj EBITDA'!AH18</f>
        <v>2557</v>
      </c>
      <c r="AI6" s="38">
        <f>'Reconciliation Adj EBITDA'!AI18</f>
        <v>2967</v>
      </c>
      <c r="AJ6" s="105">
        <f>'Reconciliation Adj EBITDA'!AJ18</f>
        <v>9484</v>
      </c>
      <c r="AK6" s="38">
        <f>'Reconciliation Adj EBITDA'!AK18</f>
        <v>3293</v>
      </c>
      <c r="AL6" s="38">
        <f>'Reconciliation Adj EBITDA'!AL18</f>
        <v>3181</v>
      </c>
      <c r="AM6" s="38">
        <f>'Reconciliation Adj EBITDA'!AM18</f>
        <v>3208</v>
      </c>
      <c r="AN6" s="38">
        <f>'Reconciliation Adj EBITDA'!AN18</f>
        <v>12792</v>
      </c>
      <c r="AO6" s="105">
        <f>'Reconciliation Adj EBITDA'!AO18</f>
        <v>22474</v>
      </c>
      <c r="AP6" s="277"/>
    </row>
    <row r="7" spans="1:42" ht="15" customHeight="1" x14ac:dyDescent="0.25">
      <c r="A7" s="16" t="s">
        <v>189</v>
      </c>
      <c r="B7" s="38">
        <f>'Reconciliation Adj EBITDA'!B13</f>
        <v>42</v>
      </c>
      <c r="C7" s="38">
        <f>'Reconciliation Adj EBITDA'!C13</f>
        <v>40</v>
      </c>
      <c r="D7" s="38">
        <f>'Reconciliation Adj EBITDA'!D13</f>
        <v>41</v>
      </c>
      <c r="E7" s="38">
        <f>'Reconciliation Adj EBITDA'!E13</f>
        <v>40</v>
      </c>
      <c r="F7" s="49">
        <f>'Reconciliation Adj EBITDA'!F13</f>
        <v>163</v>
      </c>
      <c r="G7" s="38">
        <f>'Reconciliation Adj EBITDA'!G13</f>
        <v>52</v>
      </c>
      <c r="H7" s="38">
        <f>'Reconciliation Adj EBITDA'!H13</f>
        <v>53</v>
      </c>
      <c r="I7" s="38">
        <f>'Reconciliation Adj EBITDA'!I13</f>
        <v>55</v>
      </c>
      <c r="J7" s="38">
        <f>'Reconciliation Adj EBITDA'!J13</f>
        <v>52</v>
      </c>
      <c r="K7" s="49">
        <f>'Reconciliation Adj EBITDA'!K13</f>
        <v>211</v>
      </c>
      <c r="L7" s="38">
        <f>'Reconciliation Adj EBITDA'!L13</f>
        <v>146</v>
      </c>
      <c r="M7" s="38">
        <f>'Reconciliation Adj EBITDA'!M13</f>
        <v>151</v>
      </c>
      <c r="N7" s="38">
        <f>'Reconciliation Adj EBITDA'!N13</f>
        <v>161</v>
      </c>
      <c r="O7" s="38">
        <f>'Reconciliation Adj EBITDA'!O13</f>
        <v>162</v>
      </c>
      <c r="P7" s="105">
        <f>'Reconciliation Adj EBITDA'!P13</f>
        <v>621</v>
      </c>
      <c r="Q7" s="38">
        <f>'Reconciliation Adj EBITDA'!Q13</f>
        <v>220</v>
      </c>
      <c r="R7" s="38">
        <f>'Reconciliation Adj EBITDA'!R13</f>
        <v>212</v>
      </c>
      <c r="S7" s="38">
        <f>'Reconciliation Adj EBITDA'!S13</f>
        <v>208</v>
      </c>
      <c r="T7" s="38">
        <f>'Reconciliation Adj EBITDA'!T13</f>
        <v>204</v>
      </c>
      <c r="U7" s="105">
        <f>'Reconciliation Adj EBITDA'!U13</f>
        <v>844</v>
      </c>
      <c r="V7" s="38">
        <f>'Reconciliation Adj EBITDA'!V13</f>
        <v>193</v>
      </c>
      <c r="W7" s="38">
        <f>'Reconciliation Adj EBITDA'!W13</f>
        <v>191</v>
      </c>
      <c r="X7" s="38">
        <f>'Reconciliation Adj EBITDA'!X13</f>
        <v>188</v>
      </c>
      <c r="Y7" s="38">
        <f>'Reconciliation Adj EBITDA'!Y13</f>
        <v>188</v>
      </c>
      <c r="Z7" s="105">
        <f>'Reconciliation Adj EBITDA'!Z13</f>
        <v>760</v>
      </c>
      <c r="AA7" s="38">
        <f>'Reconciliation Adj EBITDA'!AA13</f>
        <v>269</v>
      </c>
      <c r="AB7" s="38">
        <f>'Reconciliation Adj EBITDA'!AB13</f>
        <v>269</v>
      </c>
      <c r="AC7" s="38">
        <f>'Reconciliation Adj EBITDA'!AC13</f>
        <v>286</v>
      </c>
      <c r="AD7" s="38">
        <f>'Reconciliation Adj EBITDA'!AD13</f>
        <v>290</v>
      </c>
      <c r="AE7" s="105">
        <f>'Reconciliation Adj EBITDA'!AE13</f>
        <v>1114</v>
      </c>
      <c r="AF7" s="38">
        <f>'Reconciliation Adj EBITDA'!AF13</f>
        <v>175</v>
      </c>
      <c r="AG7" s="38">
        <f>'Reconciliation Adj EBITDA'!AG13</f>
        <v>175</v>
      </c>
      <c r="AH7" s="38">
        <f>'Reconciliation Adj EBITDA'!AH13</f>
        <v>170</v>
      </c>
      <c r="AI7" s="38">
        <f>'Reconciliation Adj EBITDA'!AI13</f>
        <v>166</v>
      </c>
      <c r="AJ7" s="105">
        <f>'Reconciliation Adj EBITDA'!AJ13</f>
        <v>686</v>
      </c>
      <c r="AK7" s="38">
        <f>'Reconciliation Adj EBITDA'!AK13</f>
        <v>142</v>
      </c>
      <c r="AL7" s="38">
        <f>'Reconciliation Adj EBITDA'!AL13</f>
        <v>136</v>
      </c>
      <c r="AM7" s="38">
        <f>'Reconciliation Adj EBITDA'!AM13</f>
        <v>130</v>
      </c>
      <c r="AN7" s="38">
        <f>'Reconciliation Adj EBITDA'!AN13</f>
        <v>483</v>
      </c>
      <c r="AO7" s="105">
        <f>'Reconciliation Adj EBITDA'!AO13</f>
        <v>891</v>
      </c>
      <c r="AP7" s="277"/>
    </row>
    <row r="8" spans="1:42" ht="15" customHeight="1" x14ac:dyDescent="0.25">
      <c r="A8" s="16" t="s">
        <v>190</v>
      </c>
      <c r="B8" s="38">
        <f>'Reconciliation Adj EBITDA'!B31</f>
        <v>0</v>
      </c>
      <c r="C8" s="38">
        <f>'Reconciliation Adj EBITDA'!C31</f>
        <v>0</v>
      </c>
      <c r="D8" s="38">
        <f>'Reconciliation Adj EBITDA'!D31</f>
        <v>0</v>
      </c>
      <c r="E8" s="38">
        <f>'Reconciliation Adj EBITDA'!E31</f>
        <v>0</v>
      </c>
      <c r="F8" s="49">
        <f>'Reconciliation Adj EBITDA'!F31</f>
        <v>0</v>
      </c>
      <c r="G8" s="38">
        <f>'Reconciliation Adj EBITDA'!G31</f>
        <v>0</v>
      </c>
      <c r="H8" s="38">
        <f>'Reconciliation Adj EBITDA'!H31</f>
        <v>0</v>
      </c>
      <c r="I8" s="38">
        <f>'Reconciliation Adj EBITDA'!I31</f>
        <v>0</v>
      </c>
      <c r="J8" s="38">
        <f>'Reconciliation Adj EBITDA'!J31</f>
        <v>0</v>
      </c>
      <c r="K8" s="49">
        <f>'Reconciliation Adj EBITDA'!K31</f>
        <v>0</v>
      </c>
      <c r="L8" s="38">
        <f>'Reconciliation Adj EBITDA'!L31</f>
        <v>0</v>
      </c>
      <c r="M8" s="38">
        <f>'Reconciliation Adj EBITDA'!M31</f>
        <v>0</v>
      </c>
      <c r="N8" s="38">
        <f>'Reconciliation Adj EBITDA'!N31</f>
        <v>0</v>
      </c>
      <c r="O8" s="38">
        <f>'Reconciliation Adj EBITDA'!O31</f>
        <v>2911</v>
      </c>
      <c r="P8" s="105">
        <f>'Reconciliation Adj EBITDA'!P31</f>
        <v>2911</v>
      </c>
      <c r="Q8" s="38">
        <f>'Reconciliation Adj EBITDA'!Q31</f>
        <v>-348</v>
      </c>
      <c r="R8" s="38">
        <f>'Reconciliation Adj EBITDA'!R31</f>
        <v>16</v>
      </c>
      <c r="S8" s="38">
        <f>'Reconciliation Adj EBITDA'!S31</f>
        <v>0</v>
      </c>
      <c r="T8" s="38">
        <f>'Reconciliation Adj EBITDA'!T31</f>
        <v>0</v>
      </c>
      <c r="U8" s="105">
        <f>'Reconciliation Adj EBITDA'!U31</f>
        <v>-332</v>
      </c>
      <c r="V8" s="38">
        <f>'Reconciliation Adj EBITDA'!V31</f>
        <v>0</v>
      </c>
      <c r="W8" s="38">
        <f>'Reconciliation Adj EBITDA'!W31</f>
        <v>124</v>
      </c>
      <c r="X8" s="38">
        <f>'Reconciliation Adj EBITDA'!X31</f>
        <v>172</v>
      </c>
      <c r="Y8" s="38">
        <f>'Reconciliation Adj EBITDA'!Y31</f>
        <v>1704</v>
      </c>
      <c r="Z8" s="105">
        <f>'Reconciliation Adj EBITDA'!Z31</f>
        <v>2000</v>
      </c>
      <c r="AA8" s="38">
        <f>'Reconciliation Adj EBITDA'!AA31</f>
        <v>995</v>
      </c>
      <c r="AB8" s="38">
        <f>'Reconciliation Adj EBITDA'!AB31</f>
        <v>513</v>
      </c>
      <c r="AC8" s="38">
        <f>'Reconciliation Adj EBITDA'!AC31</f>
        <v>1985</v>
      </c>
      <c r="AD8" s="38">
        <f>'Reconciliation Adj EBITDA'!AD31</f>
        <v>747</v>
      </c>
      <c r="AE8" s="105">
        <f>'Reconciliation Adj EBITDA'!AE31</f>
        <v>4240</v>
      </c>
      <c r="AF8" s="38">
        <f>'Reconciliation Adj EBITDA'!AF31</f>
        <v>1436</v>
      </c>
      <c r="AG8" s="38">
        <f>'Reconciliation Adj EBITDA'!AG31</f>
        <v>4831</v>
      </c>
      <c r="AH8" s="38">
        <f>'Reconciliation Adj EBITDA'!AH31</f>
        <v>-1029</v>
      </c>
      <c r="AI8" s="38">
        <f>'Reconciliation Adj EBITDA'!AI31</f>
        <v>513</v>
      </c>
      <c r="AJ8" s="105">
        <f>'Reconciliation Adj EBITDA'!AJ31</f>
        <v>5751</v>
      </c>
      <c r="AK8" s="38">
        <f>'Reconciliation Adj EBITDA'!AK31</f>
        <v>9</v>
      </c>
      <c r="AL8" s="38">
        <f>'Reconciliation Adj EBITDA'!AL31</f>
        <v>1029</v>
      </c>
      <c r="AM8" s="38">
        <f>'Reconciliation Adj EBITDA'!AM31</f>
        <v>-53</v>
      </c>
      <c r="AN8" s="38">
        <f>'Reconciliation Adj EBITDA'!AN31</f>
        <v>633</v>
      </c>
      <c r="AO8" s="105">
        <f>'Reconciliation Adj EBITDA'!AO31</f>
        <v>1618</v>
      </c>
      <c r="AP8" s="277"/>
    </row>
    <row r="9" spans="1:42" ht="15" customHeight="1" x14ac:dyDescent="0.25">
      <c r="A9" s="16" t="s">
        <v>191</v>
      </c>
      <c r="B9" s="66">
        <f>'Reconciliation Adj EBITDA'!B25</f>
        <v>109</v>
      </c>
      <c r="C9" s="66">
        <f>'Reconciliation Adj EBITDA'!C25</f>
        <v>115</v>
      </c>
      <c r="D9" s="66">
        <f>'Reconciliation Adj EBITDA'!D25</f>
        <v>54</v>
      </c>
      <c r="E9" s="66">
        <f>'Reconciliation Adj EBITDA'!E25</f>
        <v>46</v>
      </c>
      <c r="F9" s="65">
        <f>'Reconciliation Adj EBITDA'!F25</f>
        <v>324</v>
      </c>
      <c r="G9" s="66">
        <f>'Reconciliation Adj EBITDA'!G25</f>
        <v>40</v>
      </c>
      <c r="H9" s="66">
        <f>'Reconciliation Adj EBITDA'!H25</f>
        <v>44</v>
      </c>
      <c r="I9" s="66">
        <f>'Reconciliation Adj EBITDA'!I25</f>
        <v>3</v>
      </c>
      <c r="J9" s="66">
        <f>'Reconciliation Adj EBITDA'!J25</f>
        <v>-3</v>
      </c>
      <c r="K9" s="65">
        <f>'Reconciliation Adj EBITDA'!K25</f>
        <v>85</v>
      </c>
      <c r="L9" s="66">
        <f>'Reconciliation Adj EBITDA'!L25</f>
        <v>0</v>
      </c>
      <c r="M9" s="66">
        <f>'Reconciliation Adj EBITDA'!M25</f>
        <v>0</v>
      </c>
      <c r="N9" s="66">
        <f>'Reconciliation Adj EBITDA'!N25</f>
        <v>0</v>
      </c>
      <c r="O9" s="66">
        <f>'Reconciliation Adj EBITDA'!O25</f>
        <v>0</v>
      </c>
      <c r="P9" s="119">
        <f>'Reconciliation Adj EBITDA'!P25</f>
        <v>0</v>
      </c>
      <c r="Q9" s="66">
        <f>'Reconciliation Adj EBITDA'!Q25</f>
        <v>0</v>
      </c>
      <c r="R9" s="66">
        <f>'Reconciliation Adj EBITDA'!R25</f>
        <v>0</v>
      </c>
      <c r="S9" s="66">
        <f>'Reconciliation Adj EBITDA'!S25</f>
        <v>0</v>
      </c>
      <c r="T9" s="66">
        <f>'Reconciliation Adj EBITDA'!T25</f>
        <v>0</v>
      </c>
      <c r="U9" s="119">
        <f>'Reconciliation Adj EBITDA'!U25</f>
        <v>0</v>
      </c>
      <c r="V9" s="66">
        <f>'Reconciliation Adj EBITDA'!V25</f>
        <v>0</v>
      </c>
      <c r="W9" s="66">
        <f>'Reconciliation Adj EBITDA'!W25</f>
        <v>0</v>
      </c>
      <c r="X9" s="66">
        <f>'Reconciliation Adj EBITDA'!X25</f>
        <v>0</v>
      </c>
      <c r="Y9" s="66">
        <f>'Reconciliation Adj EBITDA'!Y25</f>
        <v>0</v>
      </c>
      <c r="Z9" s="119">
        <f>'Reconciliation Adj EBITDA'!Z25</f>
        <v>0</v>
      </c>
      <c r="AA9" s="66">
        <f>'Reconciliation Adj EBITDA'!AA25</f>
        <v>0</v>
      </c>
      <c r="AB9" s="66">
        <f>'Reconciliation Adj EBITDA'!AB25</f>
        <v>0</v>
      </c>
      <c r="AC9" s="66">
        <f>'Reconciliation Adj EBITDA'!AC25</f>
        <v>0</v>
      </c>
      <c r="AD9" s="66">
        <f>'Reconciliation Adj EBITDA'!AD25</f>
        <v>0</v>
      </c>
      <c r="AE9" s="119">
        <f>'Reconciliation Adj EBITDA'!AE25</f>
        <v>0</v>
      </c>
      <c r="AF9" s="66">
        <f>'Reconciliation Adj EBITDA'!AF25</f>
        <v>0</v>
      </c>
      <c r="AG9" s="66">
        <f>'Reconciliation Adj EBITDA'!AG25</f>
        <v>0</v>
      </c>
      <c r="AH9" s="66">
        <f>'Reconciliation Adj EBITDA'!AH25</f>
        <v>0</v>
      </c>
      <c r="AI9" s="66">
        <f>'Reconciliation Adj EBITDA'!AI25</f>
        <v>0</v>
      </c>
      <c r="AJ9" s="119">
        <f>'Reconciliation Adj EBITDA'!AJ25</f>
        <v>0</v>
      </c>
      <c r="AK9" s="66">
        <f>'Reconciliation Adj EBITDA'!AK25</f>
        <v>0</v>
      </c>
      <c r="AL9" s="66">
        <f>'Reconciliation Adj EBITDA'!AL25</f>
        <v>0</v>
      </c>
      <c r="AM9" s="66">
        <f>'Reconciliation Adj EBITDA'!AM25</f>
        <v>0</v>
      </c>
      <c r="AN9" s="66">
        <f>'Reconciliation Adj EBITDA'!AN25</f>
        <v>0</v>
      </c>
      <c r="AO9" s="119">
        <f>'Reconciliation Adj EBITDA'!AO25</f>
        <v>0</v>
      </c>
      <c r="AP9" s="277"/>
    </row>
    <row r="10" spans="1:42" ht="15" customHeight="1" x14ac:dyDescent="0.25">
      <c r="A10" s="1" t="s">
        <v>192</v>
      </c>
      <c r="B10" s="68">
        <f t="shared" ref="B10:P10" si="0">SUM(B4:B9)</f>
        <v>-15073</v>
      </c>
      <c r="C10" s="68">
        <f t="shared" si="0"/>
        <v>-16559</v>
      </c>
      <c r="D10" s="68">
        <f t="shared" si="0"/>
        <v>-18943</v>
      </c>
      <c r="E10" s="68">
        <f t="shared" si="0"/>
        <v>-21229</v>
      </c>
      <c r="F10" s="73">
        <f t="shared" si="0"/>
        <v>-71805</v>
      </c>
      <c r="G10" s="68">
        <f t="shared" si="0"/>
        <v>-22661</v>
      </c>
      <c r="H10" s="68">
        <f t="shared" si="0"/>
        <v>-26502</v>
      </c>
      <c r="I10" s="68">
        <f t="shared" si="0"/>
        <v>-24336</v>
      </c>
      <c r="J10" s="68">
        <f t="shared" si="0"/>
        <v>-30537</v>
      </c>
      <c r="K10" s="73">
        <f t="shared" si="0"/>
        <v>-104034</v>
      </c>
      <c r="L10" s="68">
        <f t="shared" si="0"/>
        <v>-32515</v>
      </c>
      <c r="M10" s="68">
        <f t="shared" si="0"/>
        <v>-35907</v>
      </c>
      <c r="N10" s="68">
        <f t="shared" si="0"/>
        <v>-34516</v>
      </c>
      <c r="O10" s="68">
        <f t="shared" si="0"/>
        <v>-35136</v>
      </c>
      <c r="P10" s="141">
        <f t="shared" si="0"/>
        <v>-138074</v>
      </c>
      <c r="Q10" s="69">
        <f>SUM(Q4:Q9)</f>
        <v>-38670</v>
      </c>
      <c r="R10" s="69">
        <f>SUM(R4:R9)</f>
        <v>-38300</v>
      </c>
      <c r="S10" s="69">
        <f>SUM(S4:S9)</f>
        <v>-33963</v>
      </c>
      <c r="T10" s="68">
        <f t="shared" ref="T10:U10" si="1">SUM(T4:T9)</f>
        <v>-35984</v>
      </c>
      <c r="U10" s="141">
        <f t="shared" si="1"/>
        <v>-146917</v>
      </c>
      <c r="V10" s="69">
        <f>SUM(V4:V9)</f>
        <v>-38882</v>
      </c>
      <c r="W10" s="69">
        <f>SUM(W4:W9)</f>
        <v>-35963</v>
      </c>
      <c r="X10" s="69">
        <f>SUM(X4:X9)</f>
        <v>-33575</v>
      </c>
      <c r="Y10" s="68">
        <f t="shared" ref="Y10:Z10" si="2">SUM(Y4:Y9)</f>
        <v>-29867</v>
      </c>
      <c r="Z10" s="141">
        <f t="shared" si="2"/>
        <v>-138287</v>
      </c>
      <c r="AA10" s="69">
        <f>SUM(AA4:AA9)</f>
        <v>-28231</v>
      </c>
      <c r="AB10" s="69">
        <f>SUM(AB4:AB9)</f>
        <v>-26739</v>
      </c>
      <c r="AC10" s="69">
        <f>SUM(AC4:AC9)</f>
        <v>-23629</v>
      </c>
      <c r="AD10" s="68">
        <f t="shared" ref="AD10:AE10" si="3">SUM(AD4:AD9)</f>
        <v>-27566</v>
      </c>
      <c r="AE10" s="141">
        <f t="shared" si="3"/>
        <v>-106165</v>
      </c>
      <c r="AF10" s="69">
        <f>SUM(AF4:AF9)</f>
        <v>-25837</v>
      </c>
      <c r="AG10" s="69">
        <f>SUM(AG4:AG9)</f>
        <v>-30484</v>
      </c>
      <c r="AH10" s="69">
        <f>SUM(AH4:AH9)</f>
        <v>-26789</v>
      </c>
      <c r="AI10" s="68">
        <f t="shared" ref="AI10:AJ10" si="4">SUM(AI4:AI9)</f>
        <v>-36452</v>
      </c>
      <c r="AJ10" s="141">
        <f t="shared" si="4"/>
        <v>-119562</v>
      </c>
      <c r="AK10" s="68">
        <f>SUM(AK4:AK9)</f>
        <v>-26616</v>
      </c>
      <c r="AL10" s="69">
        <f>SUM(AL4:AL9)</f>
        <v>-31572</v>
      </c>
      <c r="AM10" s="69">
        <f>SUM(AM4:AM9)</f>
        <v>-27819</v>
      </c>
      <c r="AN10" s="69">
        <f t="shared" ref="AN10:AO10" si="5">SUM(AN4:AN9)</f>
        <v>-40092</v>
      </c>
      <c r="AO10" s="141">
        <f t="shared" si="5"/>
        <v>-126099</v>
      </c>
      <c r="AP10" s="278"/>
    </row>
    <row r="11" spans="1:42" ht="15" customHeight="1" x14ac:dyDescent="0.25">
      <c r="A11" s="1" t="s">
        <v>193</v>
      </c>
      <c r="B11" s="70">
        <f>'P&amp;L'!B15</f>
        <v>-53083</v>
      </c>
      <c r="C11" s="70">
        <f>'P&amp;L'!C15</f>
        <v>-59727</v>
      </c>
      <c r="D11" s="70">
        <f>'P&amp;L'!D15</f>
        <v>-56310</v>
      </c>
      <c r="E11" s="70">
        <f>'P&amp;L'!E15</f>
        <v>-60410</v>
      </c>
      <c r="F11" s="74">
        <f>'P&amp;L'!F15</f>
        <v>-229530</v>
      </c>
      <c r="G11" s="70">
        <f>'P&amp;L'!G15</f>
        <v>-64473</v>
      </c>
      <c r="H11" s="70">
        <f>'P&amp;L'!H15</f>
        <v>-69225</v>
      </c>
      <c r="I11" s="70">
        <f>'P&amp;L'!I15</f>
        <v>-68164</v>
      </c>
      <c r="J11" s="70">
        <f>'P&amp;L'!J15</f>
        <v>-80991</v>
      </c>
      <c r="K11" s="74">
        <f>'P&amp;L'!K15</f>
        <v>-282853</v>
      </c>
      <c r="L11" s="70">
        <f>'P&amp;L'!L15</f>
        <v>-90730</v>
      </c>
      <c r="M11" s="70">
        <f>'P&amp;L'!M15</f>
        <v>-97900</v>
      </c>
      <c r="N11" s="70">
        <f>'P&amp;L'!N15</f>
        <v>-95184</v>
      </c>
      <c r="O11" s="70">
        <f>'P&amp;L'!O15</f>
        <v>-96834</v>
      </c>
      <c r="P11" s="143">
        <f>'P&amp;L'!P15</f>
        <v>-380649</v>
      </c>
      <c r="Q11" s="70">
        <f>'P&amp;L'!Q15</f>
        <v>-95649</v>
      </c>
      <c r="R11" s="70">
        <f>'P&amp;L'!R15</f>
        <v>-92726</v>
      </c>
      <c r="S11" s="70">
        <f>'P&amp;L'!S15</f>
        <v>-90526</v>
      </c>
      <c r="T11" s="70">
        <f>'P&amp;L'!T15</f>
        <v>-93806</v>
      </c>
      <c r="U11" s="143">
        <f>'P&amp;L'!U15</f>
        <v>-372707</v>
      </c>
      <c r="V11" s="70">
        <f>'P&amp;L'!V15</f>
        <v>-95909</v>
      </c>
      <c r="W11" s="70">
        <f>'P&amp;L'!W15</f>
        <v>-95503</v>
      </c>
      <c r="X11" s="70">
        <f>'P&amp;L'!X15</f>
        <v>-85985</v>
      </c>
      <c r="Y11" s="70">
        <f>'P&amp;L'!Y15</f>
        <v>-98080</v>
      </c>
      <c r="Z11" s="143">
        <f>'P&amp;L'!Z15</f>
        <v>-375477</v>
      </c>
      <c r="AA11" s="70">
        <f>'P&amp;L'!AA15</f>
        <v>-84974</v>
      </c>
      <c r="AB11" s="70">
        <f>'P&amp;L'!AB15</f>
        <v>-75781</v>
      </c>
      <c r="AC11" s="70">
        <f>'P&amp;L'!AC15</f>
        <v>-83659</v>
      </c>
      <c r="AD11" s="70">
        <f>'P&amp;L'!AD15</f>
        <v>-85871</v>
      </c>
      <c r="AE11" s="143">
        <f>'P&amp;L'!AE15</f>
        <v>-330285</v>
      </c>
      <c r="AF11" s="70">
        <f>'P&amp;L'!AF15</f>
        <v>-79354</v>
      </c>
      <c r="AG11" s="70">
        <f>'P&amp;L'!AG15</f>
        <v>-80751</v>
      </c>
      <c r="AH11" s="70">
        <f>'P&amp;L'!AH15</f>
        <v>-75619</v>
      </c>
      <c r="AI11" s="70">
        <f>'P&amp;L'!AI15</f>
        <v>-89892</v>
      </c>
      <c r="AJ11" s="143">
        <f>'P&amp;L'!AJ15</f>
        <v>-325616</v>
      </c>
      <c r="AK11" s="70">
        <f>'P&amp;L'!AK15</f>
        <v>-88999</v>
      </c>
      <c r="AL11" s="70">
        <f>'P&amp;L'!AL15</f>
        <v>-99313</v>
      </c>
      <c r="AM11" s="70">
        <f>'P&amp;L'!AM15</f>
        <v>-90051</v>
      </c>
      <c r="AN11" s="70">
        <f>'P&amp;L'!AN15</f>
        <v>-99633</v>
      </c>
      <c r="AO11" s="143">
        <f>'P&amp;L'!AO15</f>
        <v>-377996</v>
      </c>
      <c r="AP11" s="278"/>
    </row>
    <row r="12" spans="1:42" ht="15" customHeight="1" x14ac:dyDescent="0.25">
      <c r="A12" s="16" t="s">
        <v>187</v>
      </c>
      <c r="B12" s="38">
        <f>'Reconciliation Adj EBITDA'!B10</f>
        <v>3454</v>
      </c>
      <c r="C12" s="38">
        <f>'Reconciliation Adj EBITDA'!C10</f>
        <v>2903</v>
      </c>
      <c r="D12" s="38">
        <f>'Reconciliation Adj EBITDA'!D10</f>
        <v>1715</v>
      </c>
      <c r="E12" s="38">
        <f>'Reconciliation Adj EBITDA'!E10</f>
        <v>3606</v>
      </c>
      <c r="F12" s="49">
        <f>'Reconciliation Adj EBITDA'!F10</f>
        <v>11678</v>
      </c>
      <c r="G12" s="38">
        <f>'Reconciliation Adj EBITDA'!G10</f>
        <v>3390</v>
      </c>
      <c r="H12" s="38">
        <f>'Reconciliation Adj EBITDA'!H10</f>
        <v>2488</v>
      </c>
      <c r="I12" s="38">
        <f>'Reconciliation Adj EBITDA'!I10</f>
        <v>5143</v>
      </c>
      <c r="J12" s="38">
        <f>'Reconciliation Adj EBITDA'!J10</f>
        <v>5816</v>
      </c>
      <c r="K12" s="49">
        <f>'Reconciliation Adj EBITDA'!K10</f>
        <v>16838</v>
      </c>
      <c r="L12" s="38">
        <f>'Reconciliation Adj EBITDA'!L10</f>
        <v>6710</v>
      </c>
      <c r="M12" s="38">
        <f>'Reconciliation Adj EBITDA'!M10</f>
        <v>6401</v>
      </c>
      <c r="N12" s="38">
        <f>'Reconciliation Adj EBITDA'!N10</f>
        <v>9897</v>
      </c>
      <c r="O12" s="38">
        <f>'Reconciliation Adj EBITDA'!O10</f>
        <v>8377</v>
      </c>
      <c r="P12" s="105">
        <f>'Reconciliation Adj EBITDA'!P10</f>
        <v>31386</v>
      </c>
      <c r="Q12" s="38">
        <f>'Reconciliation Adj EBITDA'!Q10</f>
        <v>7832</v>
      </c>
      <c r="R12" s="38">
        <f>'Reconciliation Adj EBITDA'!R10</f>
        <v>8668</v>
      </c>
      <c r="S12" s="38">
        <f>'Reconciliation Adj EBITDA'!S10</f>
        <v>6952</v>
      </c>
      <c r="T12" s="38">
        <f>'Reconciliation Adj EBITDA'!T10</f>
        <v>5793</v>
      </c>
      <c r="U12" s="105">
        <f>'Reconciliation Adj EBITDA'!U10</f>
        <v>29244</v>
      </c>
      <c r="V12" s="38">
        <f>'Reconciliation Adj EBITDA'!V10</f>
        <v>6201</v>
      </c>
      <c r="W12" s="38">
        <f>'Reconciliation Adj EBITDA'!W10</f>
        <v>5693</v>
      </c>
      <c r="X12" s="38">
        <f>'Reconciliation Adj EBITDA'!X10</f>
        <v>4398</v>
      </c>
      <c r="Y12" s="38">
        <f>'Reconciliation Adj EBITDA'!Y10</f>
        <v>3009</v>
      </c>
      <c r="Z12" s="105">
        <f>'Reconciliation Adj EBITDA'!Z10</f>
        <v>19301</v>
      </c>
      <c r="AA12" s="38">
        <f>'Reconciliation Adj EBITDA'!AA10</f>
        <v>3618</v>
      </c>
      <c r="AB12" s="38">
        <f>'Reconciliation Adj EBITDA'!AB10</f>
        <v>1572</v>
      </c>
      <c r="AC12" s="38">
        <f>'Reconciliation Adj EBITDA'!AC10</f>
        <v>3190</v>
      </c>
      <c r="AD12" s="38">
        <f>'Reconciliation Adj EBITDA'!AD10</f>
        <v>3662</v>
      </c>
      <c r="AE12" s="105">
        <f>'Reconciliation Adj EBITDA'!AE10</f>
        <v>12042</v>
      </c>
      <c r="AF12" s="38">
        <f>'Reconciliation Adj EBITDA'!AF10</f>
        <v>2369</v>
      </c>
      <c r="AG12" s="38">
        <f>'Reconciliation Adj EBITDA'!AG10</f>
        <v>3636</v>
      </c>
      <c r="AH12" s="38">
        <f>'Reconciliation Adj EBITDA'!AH10</f>
        <v>3875</v>
      </c>
      <c r="AI12" s="38">
        <f>'Reconciliation Adj EBITDA'!AI10</f>
        <v>3143</v>
      </c>
      <c r="AJ12" s="105">
        <f>'Reconciliation Adj EBITDA'!AJ10</f>
        <v>13023</v>
      </c>
      <c r="AK12" s="38">
        <f>'Reconciliation Adj EBITDA'!AK10</f>
        <v>2568</v>
      </c>
      <c r="AL12" s="38">
        <f>'Reconciliation Adj EBITDA'!AL10</f>
        <v>2550</v>
      </c>
      <c r="AM12" s="38">
        <f>'Reconciliation Adj EBITDA'!AM10</f>
        <v>4577</v>
      </c>
      <c r="AN12" s="38">
        <f>'Reconciliation Adj EBITDA'!AN10</f>
        <v>4505</v>
      </c>
      <c r="AO12" s="105">
        <f>'Reconciliation Adj EBITDA'!AO10</f>
        <v>14200</v>
      </c>
      <c r="AP12" s="277"/>
    </row>
    <row r="13" spans="1:42" ht="15" customHeight="1" x14ac:dyDescent="0.25">
      <c r="A13" s="16" t="s">
        <v>188</v>
      </c>
      <c r="B13" s="38">
        <f>'Reconciliation Adj EBITDA'!B19</f>
        <v>992</v>
      </c>
      <c r="C13" s="38">
        <f>'Reconciliation Adj EBITDA'!C19</f>
        <v>1112</v>
      </c>
      <c r="D13" s="38">
        <f>'Reconciliation Adj EBITDA'!D19</f>
        <v>1330</v>
      </c>
      <c r="E13" s="38">
        <f>'Reconciliation Adj EBITDA'!E19</f>
        <v>1744</v>
      </c>
      <c r="F13" s="49">
        <f>'Reconciliation Adj EBITDA'!F19</f>
        <v>5178</v>
      </c>
      <c r="G13" s="38">
        <f>'Reconciliation Adj EBITDA'!G19</f>
        <v>1771</v>
      </c>
      <c r="H13" s="38">
        <f>'Reconciliation Adj EBITDA'!H19</f>
        <v>2019</v>
      </c>
      <c r="I13" s="38">
        <f>'Reconciliation Adj EBITDA'!I19</f>
        <v>1813</v>
      </c>
      <c r="J13" s="38">
        <f>'Reconciliation Adj EBITDA'!J19</f>
        <v>2153</v>
      </c>
      <c r="K13" s="49">
        <f>'Reconciliation Adj EBITDA'!K19</f>
        <v>7757</v>
      </c>
      <c r="L13" s="38">
        <f>'Reconciliation Adj EBITDA'!L19</f>
        <v>4961</v>
      </c>
      <c r="M13" s="38">
        <f>'Reconciliation Adj EBITDA'!M19</f>
        <v>4925</v>
      </c>
      <c r="N13" s="38">
        <f>'Reconciliation Adj EBITDA'!N19</f>
        <v>5102</v>
      </c>
      <c r="O13" s="38">
        <f>'Reconciliation Adj EBITDA'!O19</f>
        <v>4856</v>
      </c>
      <c r="P13" s="105">
        <f>'Reconciliation Adj EBITDA'!P19</f>
        <v>19844</v>
      </c>
      <c r="Q13" s="38">
        <f>'Reconciliation Adj EBITDA'!Q19</f>
        <v>4454</v>
      </c>
      <c r="R13" s="38">
        <f>'Reconciliation Adj EBITDA'!R19</f>
        <v>4518</v>
      </c>
      <c r="S13" s="38">
        <f>'Reconciliation Adj EBITDA'!S19</f>
        <v>4442</v>
      </c>
      <c r="T13" s="38">
        <f>'Reconciliation Adj EBITDA'!T19</f>
        <v>4831</v>
      </c>
      <c r="U13" s="105">
        <f>'Reconciliation Adj EBITDA'!U19</f>
        <v>18245</v>
      </c>
      <c r="V13" s="38">
        <f>'Reconciliation Adj EBITDA'!V19</f>
        <v>4864</v>
      </c>
      <c r="W13" s="38">
        <f>'Reconciliation Adj EBITDA'!W19</f>
        <v>5109</v>
      </c>
      <c r="X13" s="38">
        <f>'Reconciliation Adj EBITDA'!X19</f>
        <v>4178</v>
      </c>
      <c r="Y13" s="38">
        <f>'Reconciliation Adj EBITDA'!Y19</f>
        <v>10763</v>
      </c>
      <c r="Z13" s="105">
        <f>'Reconciliation Adj EBITDA'!Z19</f>
        <v>24914</v>
      </c>
      <c r="AA13" s="38">
        <f>'Reconciliation Adj EBITDA'!AA19</f>
        <v>4340</v>
      </c>
      <c r="AB13" s="38">
        <f>'Reconciliation Adj EBITDA'!AB19</f>
        <v>4221</v>
      </c>
      <c r="AC13" s="38">
        <f>'Reconciliation Adj EBITDA'!AC19</f>
        <v>4176</v>
      </c>
      <c r="AD13" s="38">
        <f>'Reconciliation Adj EBITDA'!AD19</f>
        <v>4033</v>
      </c>
      <c r="AE13" s="105">
        <f>'Reconciliation Adj EBITDA'!AE19</f>
        <v>16770</v>
      </c>
      <c r="AF13" s="38">
        <f>'Reconciliation Adj EBITDA'!AF19</f>
        <v>3954</v>
      </c>
      <c r="AG13" s="38">
        <f>'Reconciliation Adj EBITDA'!AG19</f>
        <v>3702</v>
      </c>
      <c r="AH13" s="38">
        <f>'Reconciliation Adj EBITDA'!AH19</f>
        <v>3545</v>
      </c>
      <c r="AI13" s="38">
        <f>'Reconciliation Adj EBITDA'!AI19</f>
        <v>3579</v>
      </c>
      <c r="AJ13" s="105">
        <f>'Reconciliation Adj EBITDA'!AJ19</f>
        <v>14780</v>
      </c>
      <c r="AK13" s="38">
        <f>'Reconciliation Adj EBITDA'!AK19</f>
        <v>3609</v>
      </c>
      <c r="AL13" s="38">
        <f>'Reconciliation Adj EBITDA'!AL19</f>
        <v>3729</v>
      </c>
      <c r="AM13" s="38">
        <f>'Reconciliation Adj EBITDA'!AM19</f>
        <v>3540</v>
      </c>
      <c r="AN13" s="38">
        <f>'Reconciliation Adj EBITDA'!AN19</f>
        <v>3930</v>
      </c>
      <c r="AO13" s="105">
        <f>'Reconciliation Adj EBITDA'!AO19</f>
        <v>14808</v>
      </c>
      <c r="AP13" s="277"/>
    </row>
    <row r="14" spans="1:42" ht="15" customHeight="1" x14ac:dyDescent="0.25">
      <c r="A14" s="16" t="s">
        <v>189</v>
      </c>
      <c r="B14" s="38">
        <f>'Reconciliation Adj EBITDA'!B14</f>
        <v>39</v>
      </c>
      <c r="C14" s="38">
        <f>'Reconciliation Adj EBITDA'!C14</f>
        <v>39</v>
      </c>
      <c r="D14" s="38">
        <f>'Reconciliation Adj EBITDA'!D14</f>
        <v>37</v>
      </c>
      <c r="E14" s="38">
        <f>'Reconciliation Adj EBITDA'!E14</f>
        <v>38</v>
      </c>
      <c r="F14" s="49">
        <f>'Reconciliation Adj EBITDA'!F14</f>
        <v>153</v>
      </c>
      <c r="G14" s="38">
        <f>'Reconciliation Adj EBITDA'!G14</f>
        <v>34</v>
      </c>
      <c r="H14" s="38">
        <f>'Reconciliation Adj EBITDA'!H14</f>
        <v>35</v>
      </c>
      <c r="I14" s="38">
        <f>'Reconciliation Adj EBITDA'!I14</f>
        <v>38</v>
      </c>
      <c r="J14" s="38">
        <f>'Reconciliation Adj EBITDA'!J14</f>
        <v>37</v>
      </c>
      <c r="K14" s="49">
        <f>'Reconciliation Adj EBITDA'!K14</f>
        <v>144</v>
      </c>
      <c r="L14" s="38">
        <f>'Reconciliation Adj EBITDA'!L14</f>
        <v>59</v>
      </c>
      <c r="M14" s="38">
        <f>'Reconciliation Adj EBITDA'!M14</f>
        <v>60</v>
      </c>
      <c r="N14" s="38">
        <f>'Reconciliation Adj EBITDA'!N14</f>
        <v>65</v>
      </c>
      <c r="O14" s="38">
        <f>'Reconciliation Adj EBITDA'!O14</f>
        <v>63</v>
      </c>
      <c r="P14" s="105">
        <f>'Reconciliation Adj EBITDA'!P14</f>
        <v>247</v>
      </c>
      <c r="Q14" s="38">
        <f>'Reconciliation Adj EBITDA'!Q14</f>
        <v>79</v>
      </c>
      <c r="R14" s="38">
        <f>'Reconciliation Adj EBITDA'!R14</f>
        <v>75</v>
      </c>
      <c r="S14" s="38">
        <f>'Reconciliation Adj EBITDA'!S14</f>
        <v>83</v>
      </c>
      <c r="T14" s="38">
        <f>'Reconciliation Adj EBITDA'!T14</f>
        <v>88</v>
      </c>
      <c r="U14" s="105">
        <f>'Reconciliation Adj EBITDA'!U14</f>
        <v>325</v>
      </c>
      <c r="V14" s="38">
        <f>'Reconciliation Adj EBITDA'!V14</f>
        <v>72</v>
      </c>
      <c r="W14" s="38">
        <f>'Reconciliation Adj EBITDA'!W14</f>
        <v>71</v>
      </c>
      <c r="X14" s="38">
        <f>'Reconciliation Adj EBITDA'!X14</f>
        <v>71</v>
      </c>
      <c r="Y14" s="38">
        <f>'Reconciliation Adj EBITDA'!Y14</f>
        <v>69</v>
      </c>
      <c r="Z14" s="105">
        <f>'Reconciliation Adj EBITDA'!Z14</f>
        <v>283</v>
      </c>
      <c r="AA14" s="38">
        <f>'Reconciliation Adj EBITDA'!AA14</f>
        <v>95</v>
      </c>
      <c r="AB14" s="38">
        <f>'Reconciliation Adj EBITDA'!AB14</f>
        <v>95</v>
      </c>
      <c r="AC14" s="38">
        <f>'Reconciliation Adj EBITDA'!AC14</f>
        <v>101</v>
      </c>
      <c r="AD14" s="38">
        <f>'Reconciliation Adj EBITDA'!AD14</f>
        <v>103</v>
      </c>
      <c r="AE14" s="105">
        <f>'Reconciliation Adj EBITDA'!AE14</f>
        <v>394</v>
      </c>
      <c r="AF14" s="38">
        <f>'Reconciliation Adj EBITDA'!AF14</f>
        <v>53</v>
      </c>
      <c r="AG14" s="38">
        <f>'Reconciliation Adj EBITDA'!AG14</f>
        <v>53</v>
      </c>
      <c r="AH14" s="38">
        <f>'Reconciliation Adj EBITDA'!AH14</f>
        <v>52</v>
      </c>
      <c r="AI14" s="38">
        <f>'Reconciliation Adj EBITDA'!AI14</f>
        <v>49</v>
      </c>
      <c r="AJ14" s="105">
        <f>'Reconciliation Adj EBITDA'!AJ14</f>
        <v>207</v>
      </c>
      <c r="AK14" s="38">
        <f>'Reconciliation Adj EBITDA'!AK14</f>
        <v>40</v>
      </c>
      <c r="AL14" s="38">
        <f>'Reconciliation Adj EBITDA'!AL14</f>
        <v>39</v>
      </c>
      <c r="AM14" s="38">
        <f>'Reconciliation Adj EBITDA'!AM14</f>
        <v>40</v>
      </c>
      <c r="AN14" s="38">
        <f>'Reconciliation Adj EBITDA'!AN14</f>
        <v>220</v>
      </c>
      <c r="AO14" s="105">
        <f>'Reconciliation Adj EBITDA'!AO14</f>
        <v>339</v>
      </c>
      <c r="AP14" s="277"/>
    </row>
    <row r="15" spans="1:42" ht="15" customHeight="1" x14ac:dyDescent="0.25">
      <c r="A15" s="16" t="s">
        <v>194</v>
      </c>
      <c r="B15" s="38"/>
      <c r="C15" s="38"/>
      <c r="D15" s="38"/>
      <c r="E15" s="38"/>
      <c r="F15" s="49"/>
      <c r="G15" s="38"/>
      <c r="H15" s="38"/>
      <c r="I15" s="38"/>
      <c r="J15" s="38"/>
      <c r="K15" s="49"/>
      <c r="L15" s="38"/>
      <c r="M15" s="38"/>
      <c r="N15" s="38"/>
      <c r="O15" s="38"/>
      <c r="P15" s="105"/>
      <c r="Q15" s="38"/>
      <c r="R15" s="38"/>
      <c r="S15" s="38"/>
      <c r="T15" s="38"/>
      <c r="U15" s="105"/>
      <c r="V15" s="38"/>
      <c r="W15" s="38"/>
      <c r="X15" s="38"/>
      <c r="Y15" s="38"/>
      <c r="Z15" s="105"/>
      <c r="AA15" s="38"/>
      <c r="AB15" s="38"/>
      <c r="AC15" s="38"/>
      <c r="AD15" s="38"/>
      <c r="AE15" s="105"/>
      <c r="AF15" s="38"/>
      <c r="AG15" s="38"/>
      <c r="AH15" s="38"/>
      <c r="AI15" s="38"/>
      <c r="AJ15" s="105"/>
      <c r="AK15" s="38"/>
      <c r="AL15" s="38">
        <v>178</v>
      </c>
      <c r="AM15" s="38">
        <v>-11</v>
      </c>
      <c r="AN15" s="38">
        <v>-2</v>
      </c>
      <c r="AO15" s="105">
        <f>SUM(AL15:AN15)</f>
        <v>165</v>
      </c>
      <c r="AP15" s="277"/>
    </row>
    <row r="16" spans="1:42" ht="15" customHeight="1" x14ac:dyDescent="0.25">
      <c r="A16" s="16" t="s">
        <v>190</v>
      </c>
      <c r="B16" s="66">
        <f>'Reconciliation Adj EBITDA'!B32</f>
        <v>0</v>
      </c>
      <c r="C16" s="66">
        <f>'Reconciliation Adj EBITDA'!C32</f>
        <v>0</v>
      </c>
      <c r="D16" s="66">
        <f>'Reconciliation Adj EBITDA'!D32</f>
        <v>0</v>
      </c>
      <c r="E16" s="66">
        <f>'Reconciliation Adj EBITDA'!E32</f>
        <v>0</v>
      </c>
      <c r="F16" s="65">
        <f>'Reconciliation Adj EBITDA'!F32</f>
        <v>0</v>
      </c>
      <c r="G16" s="66">
        <f>'Reconciliation Adj EBITDA'!G32</f>
        <v>0</v>
      </c>
      <c r="H16" s="66">
        <f>'Reconciliation Adj EBITDA'!H32</f>
        <v>0</v>
      </c>
      <c r="I16" s="66">
        <f>'Reconciliation Adj EBITDA'!I32</f>
        <v>0</v>
      </c>
      <c r="J16" s="66">
        <f>'Reconciliation Adj EBITDA'!J32</f>
        <v>0</v>
      </c>
      <c r="K16" s="65">
        <f>'Reconciliation Adj EBITDA'!K32</f>
        <v>0</v>
      </c>
      <c r="L16" s="66">
        <f>'Reconciliation Adj EBITDA'!L32</f>
        <v>0</v>
      </c>
      <c r="M16" s="66">
        <f>'Reconciliation Adj EBITDA'!M32</f>
        <v>690</v>
      </c>
      <c r="N16" s="66">
        <f>'Reconciliation Adj EBITDA'!N32</f>
        <v>0</v>
      </c>
      <c r="O16" s="66">
        <f>'Reconciliation Adj EBITDA'!O32</f>
        <v>1135</v>
      </c>
      <c r="P16" s="119">
        <f>'Reconciliation Adj EBITDA'!P32</f>
        <v>1825</v>
      </c>
      <c r="Q16" s="66">
        <f>'Reconciliation Adj EBITDA'!Q32</f>
        <v>107</v>
      </c>
      <c r="R16" s="66">
        <f>'Reconciliation Adj EBITDA'!R32</f>
        <v>183</v>
      </c>
      <c r="S16" s="66">
        <f>'Reconciliation Adj EBITDA'!S32</f>
        <v>0</v>
      </c>
      <c r="T16" s="66">
        <f>'Reconciliation Adj EBITDA'!T32</f>
        <v>0</v>
      </c>
      <c r="U16" s="119">
        <f>'Reconciliation Adj EBITDA'!U32</f>
        <v>290</v>
      </c>
      <c r="V16" s="66">
        <f>'Reconciliation Adj EBITDA'!V32</f>
        <v>1890</v>
      </c>
      <c r="W16" s="66">
        <f>'Reconciliation Adj EBITDA'!W32</f>
        <v>175</v>
      </c>
      <c r="X16" s="66">
        <f>'Reconciliation Adj EBITDA'!X32</f>
        <v>131</v>
      </c>
      <c r="Y16" s="66">
        <f>'Reconciliation Adj EBITDA'!Y32</f>
        <v>6614</v>
      </c>
      <c r="Z16" s="119">
        <f>'Reconciliation Adj EBITDA'!Z32</f>
        <v>8810</v>
      </c>
      <c r="AA16" s="66">
        <f>'Reconciliation Adj EBITDA'!AA32</f>
        <v>1021</v>
      </c>
      <c r="AB16" s="66">
        <f>'Reconciliation Adj EBITDA'!AB32</f>
        <v>415</v>
      </c>
      <c r="AC16" s="66">
        <f>'Reconciliation Adj EBITDA'!AC32</f>
        <v>5357</v>
      </c>
      <c r="AD16" s="66">
        <f>'Reconciliation Adj EBITDA'!AD32</f>
        <v>2605</v>
      </c>
      <c r="AE16" s="119">
        <f>'Reconciliation Adj EBITDA'!AE32</f>
        <v>9398</v>
      </c>
      <c r="AF16" s="66">
        <f>'Reconciliation Adj EBITDA'!AF32</f>
        <v>7367</v>
      </c>
      <c r="AG16" s="66">
        <f>'Reconciliation Adj EBITDA'!AG32</f>
        <v>1551</v>
      </c>
      <c r="AH16" s="66">
        <f>'Reconciliation Adj EBITDA'!AH32</f>
        <v>-106</v>
      </c>
      <c r="AI16" s="66">
        <f>'Reconciliation Adj EBITDA'!AI32</f>
        <v>568</v>
      </c>
      <c r="AJ16" s="119">
        <f>'Reconciliation Adj EBITDA'!AJ32</f>
        <v>9380</v>
      </c>
      <c r="AK16" s="66">
        <f>'Reconciliation Adj EBITDA'!AK32</f>
        <v>456</v>
      </c>
      <c r="AL16" s="66">
        <f>'Reconciliation Adj EBITDA'!AL32</f>
        <v>4076</v>
      </c>
      <c r="AM16" s="66">
        <f>'Reconciliation Adj EBITDA'!AM32</f>
        <v>-624</v>
      </c>
      <c r="AN16" s="66">
        <f>'Reconciliation Adj EBITDA'!AN32</f>
        <v>408</v>
      </c>
      <c r="AO16" s="119">
        <f>'Reconciliation Adj EBITDA'!AO32</f>
        <v>4316</v>
      </c>
      <c r="AP16" s="277"/>
    </row>
    <row r="17" spans="1:42" ht="15" customHeight="1" x14ac:dyDescent="0.25">
      <c r="A17" s="1" t="s">
        <v>195</v>
      </c>
      <c r="B17" s="68">
        <f t="shared" ref="B17" si="6">SUM(B11:B16)</f>
        <v>-48598</v>
      </c>
      <c r="C17" s="68">
        <f t="shared" ref="C17" si="7">SUM(C11:C16)</f>
        <v>-55673</v>
      </c>
      <c r="D17" s="68">
        <f t="shared" ref="D17" si="8">SUM(D11:D16)</f>
        <v>-53228</v>
      </c>
      <c r="E17" s="68">
        <f t="shared" ref="E17" si="9">SUM(E11:E16)</f>
        <v>-55022</v>
      </c>
      <c r="F17" s="73">
        <f t="shared" ref="F17" si="10">SUM(F11:F16)</f>
        <v>-212521</v>
      </c>
      <c r="G17" s="68">
        <f t="shared" ref="G17" si="11">SUM(G11:G16)</f>
        <v>-59278</v>
      </c>
      <c r="H17" s="68">
        <f t="shared" ref="H17" si="12">SUM(H11:H16)</f>
        <v>-64683</v>
      </c>
      <c r="I17" s="68">
        <f t="shared" ref="I17" si="13">SUM(I11:I16)</f>
        <v>-61170</v>
      </c>
      <c r="J17" s="68">
        <f t="shared" ref="J17" si="14">SUM(J11:J16)</f>
        <v>-72985</v>
      </c>
      <c r="K17" s="73">
        <f t="shared" ref="K17" si="15">SUM(K11:K16)</f>
        <v>-258114</v>
      </c>
      <c r="L17" s="68">
        <f t="shared" ref="L17" si="16">SUM(L11:L16)</f>
        <v>-79000</v>
      </c>
      <c r="M17" s="68">
        <f t="shared" ref="M17" si="17">SUM(M11:M16)</f>
        <v>-85824</v>
      </c>
      <c r="N17" s="68">
        <f t="shared" ref="N17" si="18">SUM(N11:N16)</f>
        <v>-80120</v>
      </c>
      <c r="O17" s="68">
        <f t="shared" ref="O17" si="19">SUM(O11:O16)</f>
        <v>-82403</v>
      </c>
      <c r="P17" s="141">
        <f t="shared" ref="P17" si="20">SUM(P11:P16)</f>
        <v>-327347</v>
      </c>
      <c r="Q17" s="68">
        <f t="shared" ref="Q17:U17" si="21">SUM(Q11:Q16)</f>
        <v>-83177</v>
      </c>
      <c r="R17" s="68">
        <f t="shared" si="21"/>
        <v>-79282</v>
      </c>
      <c r="S17" s="68">
        <f t="shared" si="21"/>
        <v>-79049</v>
      </c>
      <c r="T17" s="68">
        <f t="shared" si="21"/>
        <v>-83094</v>
      </c>
      <c r="U17" s="141">
        <f t="shared" si="21"/>
        <v>-324603</v>
      </c>
      <c r="V17" s="68">
        <f t="shared" ref="V17:Z17" si="22">SUM(V11:V16)</f>
        <v>-82882</v>
      </c>
      <c r="W17" s="68">
        <f t="shared" si="22"/>
        <v>-84455</v>
      </c>
      <c r="X17" s="68">
        <f t="shared" si="22"/>
        <v>-77207</v>
      </c>
      <c r="Y17" s="68">
        <f t="shared" si="22"/>
        <v>-77625</v>
      </c>
      <c r="Z17" s="141">
        <f t="shared" si="22"/>
        <v>-322169</v>
      </c>
      <c r="AA17" s="68">
        <f t="shared" ref="AA17:AE17" si="23">SUM(AA11:AA16)</f>
        <v>-75900</v>
      </c>
      <c r="AB17" s="68">
        <f t="shared" si="23"/>
        <v>-69478</v>
      </c>
      <c r="AC17" s="68">
        <f t="shared" si="23"/>
        <v>-70835</v>
      </c>
      <c r="AD17" s="68">
        <f t="shared" si="23"/>
        <v>-75468</v>
      </c>
      <c r="AE17" s="141">
        <f t="shared" si="23"/>
        <v>-291681</v>
      </c>
      <c r="AF17" s="68">
        <f t="shared" ref="AF17:AJ17" si="24">SUM(AF11:AF16)</f>
        <v>-65611</v>
      </c>
      <c r="AG17" s="68">
        <f t="shared" si="24"/>
        <v>-71809</v>
      </c>
      <c r="AH17" s="68">
        <f t="shared" si="24"/>
        <v>-68253</v>
      </c>
      <c r="AI17" s="68">
        <f t="shared" si="24"/>
        <v>-82553</v>
      </c>
      <c r="AJ17" s="141">
        <f t="shared" si="24"/>
        <v>-288226</v>
      </c>
      <c r="AK17" s="68">
        <f t="shared" ref="AK17" si="25">SUM(AK11:AK16)</f>
        <v>-82326</v>
      </c>
      <c r="AL17" s="69">
        <f>SUM(AL11:AL16)</f>
        <v>-88741</v>
      </c>
      <c r="AM17" s="68">
        <f>SUM(AM11:AM16)</f>
        <v>-82529</v>
      </c>
      <c r="AN17" s="68">
        <f t="shared" ref="AN17:AO17" si="26">SUM(AN11:AN16)</f>
        <v>-90572</v>
      </c>
      <c r="AO17" s="141">
        <f t="shared" si="26"/>
        <v>-344168</v>
      </c>
      <c r="AP17" s="278"/>
    </row>
    <row r="18" spans="1:42" ht="15" customHeight="1" x14ac:dyDescent="0.25">
      <c r="A18" s="1" t="s">
        <v>196</v>
      </c>
      <c r="B18" s="70">
        <f>'P&amp;L'!B16</f>
        <v>-17546</v>
      </c>
      <c r="C18" s="70">
        <f>'P&amp;L'!C16</f>
        <v>-20404</v>
      </c>
      <c r="D18" s="70">
        <f>'P&amp;L'!D16</f>
        <v>-19915</v>
      </c>
      <c r="E18" s="70">
        <f>'P&amp;L'!E16</f>
        <v>-21280</v>
      </c>
      <c r="F18" s="74">
        <f>'P&amp;L'!F16</f>
        <v>-79145</v>
      </c>
      <c r="G18" s="70">
        <f>'P&amp;L'!G16</f>
        <v>-24737</v>
      </c>
      <c r="H18" s="70">
        <f>'P&amp;L'!H16</f>
        <v>-28610</v>
      </c>
      <c r="I18" s="70">
        <f>'P&amp;L'!I16</f>
        <v>-32492</v>
      </c>
      <c r="J18" s="70">
        <f>'P&amp;L'!J16</f>
        <v>-31630</v>
      </c>
      <c r="K18" s="74">
        <f>'P&amp;L'!K16</f>
        <v>-117469</v>
      </c>
      <c r="L18" s="70">
        <f>'P&amp;L'!L16</f>
        <v>-31516</v>
      </c>
      <c r="M18" s="70">
        <f>'P&amp;L'!M16</f>
        <v>-32239</v>
      </c>
      <c r="N18" s="70">
        <f>'P&amp;L'!N16</f>
        <v>-32389</v>
      </c>
      <c r="O18" s="70">
        <f>'P&amp;L'!O16</f>
        <v>-30934</v>
      </c>
      <c r="P18" s="143">
        <f>'P&amp;L'!P16</f>
        <v>-127077</v>
      </c>
      <c r="Q18" s="70">
        <f>'P&amp;L'!Q16</f>
        <v>-34591</v>
      </c>
      <c r="R18" s="70">
        <f>'P&amp;L'!R16</f>
        <v>-35644</v>
      </c>
      <c r="S18" s="70">
        <f>'P&amp;L'!S16</f>
        <v>-32463</v>
      </c>
      <c r="T18" s="70">
        <f>'P&amp;L'!T16</f>
        <v>-32461</v>
      </c>
      <c r="U18" s="143">
        <f>'P&amp;L'!U16</f>
        <v>-135159</v>
      </c>
      <c r="V18" s="70">
        <f>'P&amp;L'!V16</f>
        <v>-33770</v>
      </c>
      <c r="W18" s="70">
        <f>'P&amp;L'!W16</f>
        <v>-35767</v>
      </c>
      <c r="X18" s="70">
        <f>'P&amp;L'!X16</f>
        <v>-32835</v>
      </c>
      <c r="Y18" s="70">
        <f>'P&amp;L'!Y16</f>
        <v>-37382</v>
      </c>
      <c r="Z18" s="143">
        <f>'P&amp;L'!Z16</f>
        <v>-139754</v>
      </c>
      <c r="AA18" s="70">
        <f>'P&amp;L'!AA16</f>
        <v>-25915</v>
      </c>
      <c r="AB18" s="70">
        <f>'P&amp;L'!AB16</f>
        <v>-29185</v>
      </c>
      <c r="AC18" s="70">
        <f>'P&amp;L'!AC16</f>
        <v>-28672</v>
      </c>
      <c r="AD18" s="70">
        <f>'P&amp;L'!AD16</f>
        <v>-32623</v>
      </c>
      <c r="AE18" s="143">
        <f>'P&amp;L'!AE16</f>
        <v>-116395</v>
      </c>
      <c r="AF18" s="70">
        <f>'P&amp;L'!AF16</f>
        <v>-33428</v>
      </c>
      <c r="AG18" s="70">
        <f>'P&amp;L'!AG16</f>
        <v>-40474</v>
      </c>
      <c r="AH18" s="70">
        <f>'P&amp;L'!AH16</f>
        <v>-34877</v>
      </c>
      <c r="AI18" s="70">
        <f>'P&amp;L'!AI16</f>
        <v>-43855</v>
      </c>
      <c r="AJ18" s="143">
        <f>'P&amp;L'!AJ16</f>
        <v>-152634</v>
      </c>
      <c r="AK18" s="70">
        <f>'P&amp;L'!AK16</f>
        <v>-33336</v>
      </c>
      <c r="AL18" s="70">
        <f>'P&amp;L'!AL16</f>
        <v>-100672</v>
      </c>
      <c r="AM18" s="70">
        <f>'P&amp;L'!AM16</f>
        <v>-42353</v>
      </c>
      <c r="AN18" s="70">
        <f>'P&amp;L'!AN16</f>
        <v>-28969</v>
      </c>
      <c r="AO18" s="143">
        <f>'P&amp;L'!AO16</f>
        <v>-205330</v>
      </c>
      <c r="AP18" s="278"/>
    </row>
    <row r="19" spans="1:42" ht="15" customHeight="1" x14ac:dyDescent="0.25">
      <c r="A19" s="16" t="s">
        <v>187</v>
      </c>
      <c r="B19" s="38">
        <f>'Reconciliation Adj EBITDA'!B11</f>
        <v>1385</v>
      </c>
      <c r="C19" s="38">
        <f>'Reconciliation Adj EBITDA'!C11</f>
        <v>1260</v>
      </c>
      <c r="D19" s="38">
        <f>'Reconciliation Adj EBITDA'!D11</f>
        <v>1171</v>
      </c>
      <c r="E19" s="38">
        <f>'Reconciliation Adj EBITDA'!E11</f>
        <v>1975</v>
      </c>
      <c r="F19" s="49">
        <f>'Reconciliation Adj EBITDA'!F11</f>
        <v>5791</v>
      </c>
      <c r="G19" s="38">
        <f>'Reconciliation Adj EBITDA'!G11</f>
        <v>2578</v>
      </c>
      <c r="H19" s="38">
        <f>'Reconciliation Adj EBITDA'!H11</f>
        <v>3028</v>
      </c>
      <c r="I19" s="38">
        <f>'Reconciliation Adj EBITDA'!I11</f>
        <v>4155</v>
      </c>
      <c r="J19" s="38">
        <f>'Reconciliation Adj EBITDA'!J11</f>
        <v>4553</v>
      </c>
      <c r="K19" s="49">
        <f>'Reconciliation Adj EBITDA'!K11</f>
        <v>14313</v>
      </c>
      <c r="L19" s="38">
        <f>'Reconciliation Adj EBITDA'!L11</f>
        <v>4314</v>
      </c>
      <c r="M19" s="38">
        <f>'Reconciliation Adj EBITDA'!M11</f>
        <v>4056</v>
      </c>
      <c r="N19" s="38">
        <f>'Reconciliation Adj EBITDA'!N11</f>
        <v>5770</v>
      </c>
      <c r="O19" s="38">
        <f>'Reconciliation Adj EBITDA'!O11</f>
        <v>5732</v>
      </c>
      <c r="P19" s="105">
        <f>'Reconciliation Adj EBITDA'!P11</f>
        <v>19872</v>
      </c>
      <c r="Q19" s="38">
        <f>'Reconciliation Adj EBITDA'!Q11</f>
        <v>6916</v>
      </c>
      <c r="R19" s="38">
        <f>'Reconciliation Adj EBITDA'!R11</f>
        <v>4806</v>
      </c>
      <c r="S19" s="38">
        <f>'Reconciliation Adj EBITDA'!S11</f>
        <v>5408</v>
      </c>
      <c r="T19" s="38">
        <f>'Reconciliation Adj EBITDA'!T11</f>
        <v>-531</v>
      </c>
      <c r="U19" s="105">
        <f>'Reconciliation Adj EBITDA'!U11</f>
        <v>16600</v>
      </c>
      <c r="V19" s="38">
        <f>'Reconciliation Adj EBITDA'!V11</f>
        <v>3656</v>
      </c>
      <c r="W19" s="38">
        <f>'Reconciliation Adj EBITDA'!W11</f>
        <v>4495</v>
      </c>
      <c r="X19" s="38">
        <f>'Reconciliation Adj EBITDA'!X11</f>
        <v>4142</v>
      </c>
      <c r="Y19" s="38">
        <f>'Reconciliation Adj EBITDA'!Y11</f>
        <v>2502</v>
      </c>
      <c r="Z19" s="105">
        <f>'Reconciliation Adj EBITDA'!Z11</f>
        <v>14795</v>
      </c>
      <c r="AA19" s="38">
        <f>'Reconciliation Adj EBITDA'!AA11</f>
        <v>2515</v>
      </c>
      <c r="AB19" s="38">
        <f>'Reconciliation Adj EBITDA'!AB11</f>
        <v>3519</v>
      </c>
      <c r="AC19" s="38">
        <f>'Reconciliation Adj EBITDA'!AC11</f>
        <v>280</v>
      </c>
      <c r="AD19" s="38">
        <f>'Reconciliation Adj EBITDA'!AD11</f>
        <v>2816</v>
      </c>
      <c r="AE19" s="105">
        <f>'Reconciliation Adj EBITDA'!AE11</f>
        <v>9130</v>
      </c>
      <c r="AF19" s="38">
        <f>'Reconciliation Adj EBITDA'!AF11</f>
        <v>3017</v>
      </c>
      <c r="AG19" s="38">
        <f>'Reconciliation Adj EBITDA'!AG11</f>
        <v>3815</v>
      </c>
      <c r="AH19" s="38">
        <f>'Reconciliation Adj EBITDA'!AH11</f>
        <v>4557</v>
      </c>
      <c r="AI19" s="38">
        <f>'Reconciliation Adj EBITDA'!AI11</f>
        <v>4209</v>
      </c>
      <c r="AJ19" s="105">
        <f>'Reconciliation Adj EBITDA'!AJ11</f>
        <v>15598</v>
      </c>
      <c r="AK19" s="38">
        <f>'Reconciliation Adj EBITDA'!AK11</f>
        <v>2955</v>
      </c>
      <c r="AL19" s="38">
        <f>'Reconciliation Adj EBITDA'!AL11</f>
        <v>3892</v>
      </c>
      <c r="AM19" s="38">
        <f>'Reconciliation Adj EBITDA'!AM11</f>
        <v>4886</v>
      </c>
      <c r="AN19" s="38">
        <f>'Reconciliation Adj EBITDA'!AN11</f>
        <v>2588</v>
      </c>
      <c r="AO19" s="105">
        <f>'Reconciliation Adj EBITDA'!AO11</f>
        <v>14321</v>
      </c>
      <c r="AP19" s="277"/>
    </row>
    <row r="20" spans="1:42" ht="15" customHeight="1" x14ac:dyDescent="0.25">
      <c r="A20" s="16" t="s">
        <v>188</v>
      </c>
      <c r="B20" s="38">
        <f>'Reconciliation Adj EBITDA'!B20</f>
        <v>321</v>
      </c>
      <c r="C20" s="38">
        <f>'Reconciliation Adj EBITDA'!C20</f>
        <v>376</v>
      </c>
      <c r="D20" s="38">
        <f>'Reconciliation Adj EBITDA'!D20</f>
        <v>369</v>
      </c>
      <c r="E20" s="38">
        <f>'Reconciliation Adj EBITDA'!E20</f>
        <v>461</v>
      </c>
      <c r="F20" s="49">
        <f>'Reconciliation Adj EBITDA'!F20</f>
        <v>1526</v>
      </c>
      <c r="G20" s="38">
        <f>'Reconciliation Adj EBITDA'!G20</f>
        <v>518</v>
      </c>
      <c r="H20" s="38">
        <f>'Reconciliation Adj EBITDA'!H20</f>
        <v>604</v>
      </c>
      <c r="I20" s="38">
        <f>'Reconciliation Adj EBITDA'!I20</f>
        <v>912</v>
      </c>
      <c r="J20" s="38">
        <f>'Reconciliation Adj EBITDA'!J20</f>
        <v>1308</v>
      </c>
      <c r="K20" s="49">
        <f>'Reconciliation Adj EBITDA'!K20</f>
        <v>3342</v>
      </c>
      <c r="L20" s="38">
        <f>'Reconciliation Adj EBITDA'!L20</f>
        <v>1171</v>
      </c>
      <c r="M20" s="38">
        <f>'Reconciliation Adj EBITDA'!M20</f>
        <v>1286</v>
      </c>
      <c r="N20" s="38">
        <f>'Reconciliation Adj EBITDA'!N20</f>
        <v>1511</v>
      </c>
      <c r="O20" s="38">
        <f>'Reconciliation Adj EBITDA'!O20</f>
        <v>1770</v>
      </c>
      <c r="P20" s="105">
        <f>'Reconciliation Adj EBITDA'!P20</f>
        <v>5738</v>
      </c>
      <c r="Q20" s="38">
        <f>'Reconciliation Adj EBITDA'!Q20</f>
        <v>1722</v>
      </c>
      <c r="R20" s="38">
        <f>'Reconciliation Adj EBITDA'!R20</f>
        <v>1747</v>
      </c>
      <c r="S20" s="38">
        <f>'Reconciliation Adj EBITDA'!S20</f>
        <v>1882</v>
      </c>
      <c r="T20" s="38">
        <f>'Reconciliation Adj EBITDA'!T20</f>
        <v>1955</v>
      </c>
      <c r="U20" s="105">
        <f>'Reconciliation Adj EBITDA'!U20</f>
        <v>7306</v>
      </c>
      <c r="V20" s="38">
        <f>'Reconciliation Adj EBITDA'!V20</f>
        <v>1820</v>
      </c>
      <c r="W20" s="38">
        <f>'Reconciliation Adj EBITDA'!W20</f>
        <v>1825</v>
      </c>
      <c r="X20" s="38">
        <f>'Reconciliation Adj EBITDA'!X20</f>
        <v>1768</v>
      </c>
      <c r="Y20" s="38">
        <f>'Reconciliation Adj EBITDA'!Y20</f>
        <v>1787</v>
      </c>
      <c r="Z20" s="105">
        <f>'Reconciliation Adj EBITDA'!Z20</f>
        <v>7200</v>
      </c>
      <c r="AA20" s="38">
        <f>'Reconciliation Adj EBITDA'!AA20</f>
        <v>1377</v>
      </c>
      <c r="AB20" s="38">
        <f>'Reconciliation Adj EBITDA'!AB20</f>
        <v>1231</v>
      </c>
      <c r="AC20" s="38">
        <f>'Reconciliation Adj EBITDA'!AC20</f>
        <v>1143</v>
      </c>
      <c r="AD20" s="38">
        <f>'Reconciliation Adj EBITDA'!AD20</f>
        <v>1041</v>
      </c>
      <c r="AE20" s="105">
        <f>'Reconciliation Adj EBITDA'!AE20</f>
        <v>4792</v>
      </c>
      <c r="AF20" s="38">
        <f>'Reconciliation Adj EBITDA'!AF20</f>
        <v>903</v>
      </c>
      <c r="AG20" s="38">
        <f>'Reconciliation Adj EBITDA'!AG20</f>
        <v>838</v>
      </c>
      <c r="AH20" s="38">
        <f>'Reconciliation Adj EBITDA'!AH20</f>
        <v>679</v>
      </c>
      <c r="AI20" s="38">
        <f>'Reconciliation Adj EBITDA'!AI20</f>
        <v>599</v>
      </c>
      <c r="AJ20" s="105">
        <f>'Reconciliation Adj EBITDA'!AJ20</f>
        <v>3019</v>
      </c>
      <c r="AK20" s="38">
        <f>'Reconciliation Adj EBITDA'!AK20</f>
        <v>610</v>
      </c>
      <c r="AL20" s="38">
        <f>'Reconciliation Adj EBITDA'!AL20</f>
        <v>606</v>
      </c>
      <c r="AM20" s="38">
        <f>'Reconciliation Adj EBITDA'!AM20</f>
        <v>563</v>
      </c>
      <c r="AN20" s="38">
        <f>'Reconciliation Adj EBITDA'!AN20</f>
        <v>-925</v>
      </c>
      <c r="AO20" s="105">
        <f>'Reconciliation Adj EBITDA'!AO20</f>
        <v>854</v>
      </c>
      <c r="AP20" s="277"/>
    </row>
    <row r="21" spans="1:42" ht="15" customHeight="1" x14ac:dyDescent="0.25">
      <c r="A21" s="16" t="s">
        <v>189</v>
      </c>
      <c r="B21" s="38">
        <f>'Reconciliation Adj EBITDA'!B15</f>
        <v>31</v>
      </c>
      <c r="C21" s="38">
        <f>'Reconciliation Adj EBITDA'!C15</f>
        <v>31</v>
      </c>
      <c r="D21" s="38">
        <f>'Reconciliation Adj EBITDA'!D15</f>
        <v>32</v>
      </c>
      <c r="E21" s="38">
        <f>'Reconciliation Adj EBITDA'!E15</f>
        <v>31</v>
      </c>
      <c r="F21" s="49">
        <f>'Reconciliation Adj EBITDA'!F15</f>
        <v>125</v>
      </c>
      <c r="G21" s="38">
        <f>'Reconciliation Adj EBITDA'!G15</f>
        <v>43</v>
      </c>
      <c r="H21" s="38">
        <f>'Reconciliation Adj EBITDA'!H15</f>
        <v>43</v>
      </c>
      <c r="I21" s="38">
        <f>'Reconciliation Adj EBITDA'!I15</f>
        <v>39</v>
      </c>
      <c r="J21" s="38">
        <f>'Reconciliation Adj EBITDA'!J15</f>
        <v>44</v>
      </c>
      <c r="K21" s="49">
        <f>'Reconciliation Adj EBITDA'!K15</f>
        <v>169</v>
      </c>
      <c r="L21" s="38">
        <f>'Reconciliation Adj EBITDA'!L15</f>
        <v>85</v>
      </c>
      <c r="M21" s="38">
        <f>'Reconciliation Adj EBITDA'!M15</f>
        <v>88</v>
      </c>
      <c r="N21" s="38">
        <f>'Reconciliation Adj EBITDA'!N15</f>
        <v>94</v>
      </c>
      <c r="O21" s="38">
        <f>'Reconciliation Adj EBITDA'!O15</f>
        <v>96</v>
      </c>
      <c r="P21" s="105">
        <f>'Reconciliation Adj EBITDA'!P15</f>
        <v>363</v>
      </c>
      <c r="Q21" s="38">
        <f>'Reconciliation Adj EBITDA'!Q15</f>
        <v>135</v>
      </c>
      <c r="R21" s="38">
        <f>'Reconciliation Adj EBITDA'!R15</f>
        <v>132</v>
      </c>
      <c r="S21" s="38">
        <f>'Reconciliation Adj EBITDA'!S15</f>
        <v>128</v>
      </c>
      <c r="T21" s="38">
        <f>'Reconciliation Adj EBITDA'!T15</f>
        <v>127</v>
      </c>
      <c r="U21" s="105">
        <f>'Reconciliation Adj EBITDA'!U15</f>
        <v>522</v>
      </c>
      <c r="V21" s="38">
        <f>'Reconciliation Adj EBITDA'!V15</f>
        <v>129</v>
      </c>
      <c r="W21" s="38">
        <f>'Reconciliation Adj EBITDA'!W15</f>
        <v>129</v>
      </c>
      <c r="X21" s="38">
        <f>'Reconciliation Adj EBITDA'!X15</f>
        <v>129</v>
      </c>
      <c r="Y21" s="38">
        <f>'Reconciliation Adj EBITDA'!Y15</f>
        <v>126</v>
      </c>
      <c r="Z21" s="105">
        <f>'Reconciliation Adj EBITDA'!Z15</f>
        <v>513</v>
      </c>
      <c r="AA21" s="38">
        <f>'Reconciliation Adj EBITDA'!AA15</f>
        <v>174</v>
      </c>
      <c r="AB21" s="38">
        <f>'Reconciliation Adj EBITDA'!AB15</f>
        <v>175</v>
      </c>
      <c r="AC21" s="38">
        <f>'Reconciliation Adj EBITDA'!AC15</f>
        <v>185</v>
      </c>
      <c r="AD21" s="38">
        <f>'Reconciliation Adj EBITDA'!AD15</f>
        <v>190</v>
      </c>
      <c r="AE21" s="105">
        <f>'Reconciliation Adj EBITDA'!AE15</f>
        <v>724</v>
      </c>
      <c r="AF21" s="38">
        <f>'Reconciliation Adj EBITDA'!AF15</f>
        <v>110</v>
      </c>
      <c r="AG21" s="38">
        <f>'Reconciliation Adj EBITDA'!AG15</f>
        <v>109</v>
      </c>
      <c r="AH21" s="38">
        <f>'Reconciliation Adj EBITDA'!AH15</f>
        <v>108</v>
      </c>
      <c r="AI21" s="38">
        <f>'Reconciliation Adj EBITDA'!AI15</f>
        <v>104</v>
      </c>
      <c r="AJ21" s="105">
        <f>'Reconciliation Adj EBITDA'!AJ15</f>
        <v>431</v>
      </c>
      <c r="AK21" s="38">
        <f>'Reconciliation Adj EBITDA'!AK15</f>
        <v>93</v>
      </c>
      <c r="AL21" s="38">
        <f>'Reconciliation Adj EBITDA'!AL15</f>
        <v>89</v>
      </c>
      <c r="AM21" s="38">
        <f>'Reconciliation Adj EBITDA'!AM15</f>
        <v>77</v>
      </c>
      <c r="AN21" s="38">
        <f>'Reconciliation Adj EBITDA'!AN15</f>
        <v>267</v>
      </c>
      <c r="AO21" s="105">
        <f>'Reconciliation Adj EBITDA'!AO15</f>
        <v>526</v>
      </c>
      <c r="AP21" s="277"/>
    </row>
    <row r="22" spans="1:42" ht="15" customHeight="1" x14ac:dyDescent="0.25">
      <c r="A22" s="16" t="s">
        <v>197</v>
      </c>
      <c r="B22" s="38">
        <f>'Reconciliation Adj EBITDA'!B23</f>
        <v>0</v>
      </c>
      <c r="C22" s="38">
        <f>'Reconciliation Adj EBITDA'!C23</f>
        <v>0</v>
      </c>
      <c r="D22" s="38">
        <f>'Reconciliation Adj EBITDA'!D23</f>
        <v>0</v>
      </c>
      <c r="E22" s="38">
        <f>'Reconciliation Adj EBITDA'!E23</f>
        <v>0</v>
      </c>
      <c r="F22" s="49">
        <f>'Reconciliation Adj EBITDA'!F23</f>
        <v>0</v>
      </c>
      <c r="G22" s="38">
        <f>'Reconciliation Adj EBITDA'!G23</f>
        <v>0</v>
      </c>
      <c r="H22" s="38">
        <f>'Reconciliation Adj EBITDA'!H23</f>
        <v>148</v>
      </c>
      <c r="I22" s="38">
        <f>'Reconciliation Adj EBITDA'!I23</f>
        <v>1793</v>
      </c>
      <c r="J22" s="38">
        <f>'Reconciliation Adj EBITDA'!J23</f>
        <v>980</v>
      </c>
      <c r="K22" s="49">
        <f>'Reconciliation Adj EBITDA'!K23</f>
        <v>2921</v>
      </c>
      <c r="L22" s="38">
        <f>'Reconciliation Adj EBITDA'!L23</f>
        <v>6</v>
      </c>
      <c r="M22" s="38">
        <f>'Reconciliation Adj EBITDA'!M23</f>
        <v>0</v>
      </c>
      <c r="N22" s="38">
        <f>'Reconciliation Adj EBITDA'!N23</f>
        <v>0</v>
      </c>
      <c r="O22" s="38">
        <f>'Reconciliation Adj EBITDA'!O23</f>
        <v>0</v>
      </c>
      <c r="P22" s="105">
        <f>'Reconciliation Adj EBITDA'!P23</f>
        <v>6</v>
      </c>
      <c r="Q22" s="38">
        <f>'Reconciliation Adj EBITDA'!Q23</f>
        <v>0</v>
      </c>
      <c r="R22" s="38">
        <f>'Reconciliation Adj EBITDA'!R23</f>
        <v>0</v>
      </c>
      <c r="S22" s="38">
        <f>'Reconciliation Adj EBITDA'!S23</f>
        <v>516</v>
      </c>
      <c r="T22" s="38">
        <f>'Reconciliation Adj EBITDA'!T23</f>
        <v>1222</v>
      </c>
      <c r="U22" s="105">
        <f>'Reconciliation Adj EBITDA'!U23</f>
        <v>1738</v>
      </c>
      <c r="V22" s="38">
        <f>'Reconciliation Adj EBITDA'!V23</f>
        <v>0</v>
      </c>
      <c r="W22" s="38">
        <f>'Reconciliation Adj EBITDA'!W23</f>
        <v>0</v>
      </c>
      <c r="X22" s="38">
        <f>'Reconciliation Adj EBITDA'!X23</f>
        <v>0</v>
      </c>
      <c r="Y22" s="38">
        <f>'Reconciliation Adj EBITDA'!Y23</f>
        <v>0</v>
      </c>
      <c r="Z22" s="105">
        <f>'Reconciliation Adj EBITDA'!Z23</f>
        <v>0</v>
      </c>
      <c r="AA22" s="38">
        <f>'Reconciliation Adj EBITDA'!AA23</f>
        <v>0</v>
      </c>
      <c r="AB22" s="38">
        <f>'Reconciliation Adj EBITDA'!AB23</f>
        <v>0</v>
      </c>
      <c r="AC22" s="38">
        <f>'Reconciliation Adj EBITDA'!AC23</f>
        <v>112</v>
      </c>
      <c r="AD22" s="38">
        <f>'Reconciliation Adj EBITDA'!AD23</f>
        <v>174</v>
      </c>
      <c r="AE22" s="105">
        <f>'Reconciliation Adj EBITDA'!AE23</f>
        <v>286</v>
      </c>
      <c r="AF22" s="38">
        <f>'Reconciliation Adj EBITDA'!AF23</f>
        <v>0</v>
      </c>
      <c r="AG22" s="38">
        <f>'Reconciliation Adj EBITDA'!AG23</f>
        <v>3047</v>
      </c>
      <c r="AH22" s="38">
        <f>'Reconciliation Adj EBITDA'!AH23</f>
        <v>2091</v>
      </c>
      <c r="AI22" s="38">
        <f>'Reconciliation Adj EBITDA'!AI23</f>
        <v>6118</v>
      </c>
      <c r="AJ22" s="105">
        <f>'Reconciliation Adj EBITDA'!AJ23</f>
        <v>11256</v>
      </c>
      <c r="AK22" s="38">
        <f>'Reconciliation Adj EBITDA'!AK23</f>
        <v>2544</v>
      </c>
      <c r="AL22" s="38">
        <v>1799</v>
      </c>
      <c r="AM22" s="38">
        <f>'Reconciliation Adj EBITDA'!AM23</f>
        <v>6981</v>
      </c>
      <c r="AN22" s="38">
        <f>'Reconciliation Adj EBITDA'!AN23</f>
        <v>1095</v>
      </c>
      <c r="AO22" s="105">
        <f>'Reconciliation Adj EBITDA'!AO23</f>
        <v>12419</v>
      </c>
      <c r="AP22" s="277"/>
    </row>
    <row r="23" spans="1:42" ht="14.1" customHeight="1" x14ac:dyDescent="0.25">
      <c r="A23" s="16" t="s">
        <v>190</v>
      </c>
      <c r="B23" s="38">
        <f>'Reconciliation Adj EBITDA'!B33</f>
        <v>0</v>
      </c>
      <c r="C23" s="38">
        <f>'Reconciliation Adj EBITDA'!C33</f>
        <v>0</v>
      </c>
      <c r="D23" s="38">
        <f>'Reconciliation Adj EBITDA'!D33</f>
        <v>0</v>
      </c>
      <c r="E23" s="38">
        <f>'Reconciliation Adj EBITDA'!E33</f>
        <v>0</v>
      </c>
      <c r="F23" s="49">
        <f>'Reconciliation Adj EBITDA'!F33</f>
        <v>0</v>
      </c>
      <c r="G23" s="38">
        <f>'Reconciliation Adj EBITDA'!G33</f>
        <v>0</v>
      </c>
      <c r="H23" s="38">
        <f>'Reconciliation Adj EBITDA'!H33</f>
        <v>0</v>
      </c>
      <c r="I23" s="38">
        <f>'Reconciliation Adj EBITDA'!I33</f>
        <v>0</v>
      </c>
      <c r="J23" s="38">
        <f>'Reconciliation Adj EBITDA'!J33</f>
        <v>0</v>
      </c>
      <c r="K23" s="49">
        <f>'Reconciliation Adj EBITDA'!K33</f>
        <v>0</v>
      </c>
      <c r="L23" s="38">
        <f>'Reconciliation Adj EBITDA'!L33</f>
        <v>0</v>
      </c>
      <c r="M23" s="38">
        <f>'Reconciliation Adj EBITDA'!M33</f>
        <v>112</v>
      </c>
      <c r="N23" s="38">
        <f>'Reconciliation Adj EBITDA'!N33</f>
        <v>0</v>
      </c>
      <c r="O23" s="38">
        <f>'Reconciliation Adj EBITDA'!O33</f>
        <v>11</v>
      </c>
      <c r="P23" s="105">
        <f>'Reconciliation Adj EBITDA'!P33</f>
        <v>123</v>
      </c>
      <c r="Q23" s="38">
        <f>'Reconciliation Adj EBITDA'!Q33</f>
        <v>-11</v>
      </c>
      <c r="R23" s="38">
        <f>'Reconciliation Adj EBITDA'!R33</f>
        <v>0</v>
      </c>
      <c r="S23" s="38">
        <f>'Reconciliation Adj EBITDA'!S33</f>
        <v>0</v>
      </c>
      <c r="T23" s="38">
        <f>'Reconciliation Adj EBITDA'!T33</f>
        <v>0</v>
      </c>
      <c r="U23" s="105">
        <f>'Reconciliation Adj EBITDA'!U33</f>
        <v>-11</v>
      </c>
      <c r="V23" s="38">
        <f>'Reconciliation Adj EBITDA'!V33</f>
        <v>0</v>
      </c>
      <c r="W23" s="38">
        <f>'Reconciliation Adj EBITDA'!W33</f>
        <v>429</v>
      </c>
      <c r="X23" s="38">
        <f>'Reconciliation Adj EBITDA'!X33</f>
        <v>0</v>
      </c>
      <c r="Y23" s="38">
        <f>'Reconciliation Adj EBITDA'!Y33</f>
        <v>2343</v>
      </c>
      <c r="Z23" s="105">
        <f>'Reconciliation Adj EBITDA'!Z33</f>
        <v>2772</v>
      </c>
      <c r="AA23" s="38">
        <f>'Reconciliation Adj EBITDA'!AA33</f>
        <v>193</v>
      </c>
      <c r="AB23" s="38">
        <f>'Reconciliation Adj EBITDA'!AB33</f>
        <v>288</v>
      </c>
      <c r="AC23" s="38">
        <f>'Reconciliation Adj EBITDA'!AC33</f>
        <v>4839</v>
      </c>
      <c r="AD23" s="38">
        <f>'Reconciliation Adj EBITDA'!AD33</f>
        <v>1031</v>
      </c>
      <c r="AE23" s="105">
        <f>'Reconciliation Adj EBITDA'!AE33</f>
        <v>6351</v>
      </c>
      <c r="AF23" s="38">
        <f>'Reconciliation Adj EBITDA'!AF33</f>
        <v>2833</v>
      </c>
      <c r="AG23" s="38">
        <f>'Reconciliation Adj EBITDA'!AG33</f>
        <v>3614</v>
      </c>
      <c r="AH23" s="38">
        <f>'Reconciliation Adj EBITDA'!AH33</f>
        <v>-632</v>
      </c>
      <c r="AI23" s="38">
        <f>'Reconciliation Adj EBITDA'!AI33</f>
        <v>752</v>
      </c>
      <c r="AJ23" s="105">
        <f>'Reconciliation Adj EBITDA'!AJ33</f>
        <v>6567</v>
      </c>
      <c r="AK23" s="38">
        <f>'Reconciliation Adj EBITDA'!AK33</f>
        <v>245</v>
      </c>
      <c r="AL23" s="38">
        <f>'Reconciliation Adj EBITDA'!AL33</f>
        <v>820</v>
      </c>
      <c r="AM23" s="38">
        <f>'Reconciliation Adj EBITDA'!AM33</f>
        <v>596</v>
      </c>
      <c r="AN23" s="38">
        <v>3082</v>
      </c>
      <c r="AO23" s="105">
        <f>'Reconciliation Adj EBITDA'!AO33</f>
        <v>4743</v>
      </c>
      <c r="AP23" s="277"/>
    </row>
    <row r="24" spans="1:42" ht="14.1" customHeight="1" x14ac:dyDescent="0.25">
      <c r="A24" s="167" t="s">
        <v>198</v>
      </c>
      <c r="B24" s="38"/>
      <c r="C24" s="38"/>
      <c r="D24" s="38"/>
      <c r="E24" s="38"/>
      <c r="F24" s="49"/>
      <c r="G24" s="38"/>
      <c r="H24" s="38"/>
      <c r="I24" s="38"/>
      <c r="J24" s="38"/>
      <c r="K24" s="49"/>
      <c r="L24" s="38"/>
      <c r="M24" s="38"/>
      <c r="N24" s="38"/>
      <c r="O24" s="38"/>
      <c r="P24" s="105"/>
      <c r="Q24" s="38"/>
      <c r="R24" s="38"/>
      <c r="S24" s="38"/>
      <c r="T24" s="38"/>
      <c r="U24" s="105"/>
      <c r="V24" s="38"/>
      <c r="W24" s="38">
        <v>0</v>
      </c>
      <c r="X24" s="38">
        <v>0</v>
      </c>
      <c r="Y24" s="38">
        <v>0</v>
      </c>
      <c r="Z24" s="105">
        <v>0</v>
      </c>
      <c r="AA24" s="38">
        <v>0</v>
      </c>
      <c r="AB24" s="38">
        <v>0</v>
      </c>
      <c r="AC24" s="38">
        <v>0</v>
      </c>
      <c r="AD24" s="38">
        <v>0</v>
      </c>
      <c r="AE24" s="105">
        <v>0</v>
      </c>
      <c r="AF24" s="38">
        <v>0</v>
      </c>
      <c r="AG24" s="38">
        <v>0</v>
      </c>
      <c r="AH24" s="38">
        <v>0</v>
      </c>
      <c r="AI24" s="38">
        <v>0</v>
      </c>
      <c r="AJ24" s="105">
        <v>0</v>
      </c>
      <c r="AK24" s="38">
        <v>0</v>
      </c>
      <c r="AL24" s="38">
        <v>65684</v>
      </c>
      <c r="AM24" s="38">
        <v>-1764</v>
      </c>
      <c r="AN24" s="38">
        <v>-699</v>
      </c>
      <c r="AO24" s="105">
        <v>63221</v>
      </c>
      <c r="AP24" s="277"/>
    </row>
    <row r="25" spans="1:42" ht="15" customHeight="1" x14ac:dyDescent="0.25">
      <c r="A25" s="16" t="s">
        <v>191</v>
      </c>
      <c r="B25" s="38">
        <f>'Reconciliation Adj EBITDA'!B26</f>
        <v>0</v>
      </c>
      <c r="C25" s="38">
        <f>'Reconciliation Adj EBITDA'!C26</f>
        <v>0</v>
      </c>
      <c r="D25" s="38">
        <f>'Reconciliation Adj EBITDA'!D26</f>
        <v>0</v>
      </c>
      <c r="E25" s="38">
        <f>'Reconciliation Adj EBITDA'!E26</f>
        <v>-2218</v>
      </c>
      <c r="F25" s="49">
        <f>'Reconciliation Adj EBITDA'!F26</f>
        <v>-2218</v>
      </c>
      <c r="G25" s="38">
        <f>'Reconciliation Adj EBITDA'!G26</f>
        <v>0</v>
      </c>
      <c r="H25" s="38">
        <f>'Reconciliation Adj EBITDA'!H26</f>
        <v>0</v>
      </c>
      <c r="I25" s="38">
        <f>'Reconciliation Adj EBITDA'!I26</f>
        <v>0</v>
      </c>
      <c r="J25" s="38">
        <f>'Reconciliation Adj EBITDA'!J26</f>
        <v>0</v>
      </c>
      <c r="K25" s="49">
        <f>'Reconciliation Adj EBITDA'!K26</f>
        <v>0</v>
      </c>
      <c r="L25" s="38">
        <f>'Reconciliation Adj EBITDA'!L26</f>
        <v>0</v>
      </c>
      <c r="M25" s="38">
        <f>'Reconciliation Adj EBITDA'!M26</f>
        <v>0</v>
      </c>
      <c r="N25" s="38">
        <f>'Reconciliation Adj EBITDA'!N26</f>
        <v>0</v>
      </c>
      <c r="O25" s="38">
        <f>'Reconciliation Adj EBITDA'!O26</f>
        <v>0</v>
      </c>
      <c r="P25" s="105">
        <f>'Reconciliation Adj EBITDA'!P26</f>
        <v>0</v>
      </c>
      <c r="Q25" s="38">
        <f>'Reconciliation Adj EBITDA'!Q26</f>
        <v>0</v>
      </c>
      <c r="R25" s="38">
        <f>'Reconciliation Adj EBITDA'!R26</f>
        <v>0</v>
      </c>
      <c r="S25" s="38">
        <f>'Reconciliation Adj EBITDA'!S26</f>
        <v>0</v>
      </c>
      <c r="T25" s="38">
        <f>'Reconciliation Adj EBITDA'!T26</f>
        <v>0</v>
      </c>
      <c r="U25" s="105">
        <f>'Reconciliation Adj EBITDA'!U26</f>
        <v>0</v>
      </c>
      <c r="V25" s="38">
        <f>'Reconciliation Adj EBITDA'!V26</f>
        <v>0</v>
      </c>
      <c r="W25" s="38">
        <f>'Reconciliation Adj EBITDA'!W26</f>
        <v>0</v>
      </c>
      <c r="X25" s="38">
        <f>'Reconciliation Adj EBITDA'!X26</f>
        <v>0</v>
      </c>
      <c r="Y25" s="38">
        <f>'Reconciliation Adj EBITDA'!Y26</f>
        <v>0</v>
      </c>
      <c r="Z25" s="105">
        <f>'Reconciliation Adj EBITDA'!Z26</f>
        <v>0</v>
      </c>
      <c r="AA25" s="38">
        <f>'Reconciliation Adj EBITDA'!AA26</f>
        <v>0</v>
      </c>
      <c r="AB25" s="38">
        <f>'Reconciliation Adj EBITDA'!AB26</f>
        <v>0</v>
      </c>
      <c r="AC25" s="38">
        <f>'Reconciliation Adj EBITDA'!AC26</f>
        <v>0</v>
      </c>
      <c r="AD25" s="38">
        <f>'Reconciliation Adj EBITDA'!AD26</f>
        <v>0</v>
      </c>
      <c r="AE25" s="105">
        <f>'Reconciliation Adj EBITDA'!AE26</f>
        <v>0</v>
      </c>
      <c r="AF25" s="38">
        <f>'Reconciliation Adj EBITDA'!AF26</f>
        <v>0</v>
      </c>
      <c r="AG25" s="38">
        <f>'Reconciliation Adj EBITDA'!AG26</f>
        <v>0</v>
      </c>
      <c r="AH25" s="38">
        <f>'Reconciliation Adj EBITDA'!AH26</f>
        <v>0</v>
      </c>
      <c r="AI25" s="38">
        <f>'Reconciliation Adj EBITDA'!AI26</f>
        <v>0</v>
      </c>
      <c r="AJ25" s="105">
        <f>'Reconciliation Adj EBITDA'!AJ26</f>
        <v>0</v>
      </c>
      <c r="AK25" s="38">
        <f>'Reconciliation Adj EBITDA'!AK26</f>
        <v>0</v>
      </c>
      <c r="AL25" s="38">
        <f>'Reconciliation Adj EBITDA'!AL26</f>
        <v>0</v>
      </c>
      <c r="AM25" s="38">
        <f>'Reconciliation Adj EBITDA'!AM26</f>
        <v>0</v>
      </c>
      <c r="AN25" s="38">
        <f>'Reconciliation Adj EBITDA'!AN26</f>
        <v>0</v>
      </c>
      <c r="AO25" s="105">
        <f>'Reconciliation Adj EBITDA'!AO26</f>
        <v>0</v>
      </c>
      <c r="AP25" s="277"/>
    </row>
    <row r="26" spans="1:42" ht="15" customHeight="1" x14ac:dyDescent="0.25">
      <c r="A26" s="1" t="s">
        <v>199</v>
      </c>
      <c r="B26" s="69">
        <f t="shared" ref="B26:AM26" si="27">SUM(B18:B25)</f>
        <v>-15809</v>
      </c>
      <c r="C26" s="69">
        <f t="shared" si="27"/>
        <v>-18737</v>
      </c>
      <c r="D26" s="69">
        <f t="shared" si="27"/>
        <v>-18343</v>
      </c>
      <c r="E26" s="69">
        <f t="shared" si="27"/>
        <v>-21031</v>
      </c>
      <c r="F26" s="75">
        <f t="shared" si="27"/>
        <v>-73921</v>
      </c>
      <c r="G26" s="69">
        <f t="shared" si="27"/>
        <v>-21598</v>
      </c>
      <c r="H26" s="69">
        <f t="shared" si="27"/>
        <v>-24787</v>
      </c>
      <c r="I26" s="69">
        <f t="shared" si="27"/>
        <v>-25593</v>
      </c>
      <c r="J26" s="69">
        <f t="shared" si="27"/>
        <v>-24745</v>
      </c>
      <c r="K26" s="75">
        <f t="shared" si="27"/>
        <v>-96724</v>
      </c>
      <c r="L26" s="69">
        <f t="shared" si="27"/>
        <v>-25940</v>
      </c>
      <c r="M26" s="69">
        <f t="shared" si="27"/>
        <v>-26697</v>
      </c>
      <c r="N26" s="69">
        <f t="shared" si="27"/>
        <v>-25014</v>
      </c>
      <c r="O26" s="69">
        <f t="shared" si="27"/>
        <v>-23325</v>
      </c>
      <c r="P26" s="142">
        <f t="shared" si="27"/>
        <v>-100975</v>
      </c>
      <c r="Q26" s="69">
        <f t="shared" si="27"/>
        <v>-25829</v>
      </c>
      <c r="R26" s="69">
        <f t="shared" si="27"/>
        <v>-28959</v>
      </c>
      <c r="S26" s="69">
        <f t="shared" si="27"/>
        <v>-24529</v>
      </c>
      <c r="T26" s="69">
        <f t="shared" si="27"/>
        <v>-29688</v>
      </c>
      <c r="U26" s="142">
        <f t="shared" si="27"/>
        <v>-109004</v>
      </c>
      <c r="V26" s="69">
        <f t="shared" si="27"/>
        <v>-28165</v>
      </c>
      <c r="W26" s="69">
        <f t="shared" si="27"/>
        <v>-28889</v>
      </c>
      <c r="X26" s="69">
        <f t="shared" si="27"/>
        <v>-26796</v>
      </c>
      <c r="Y26" s="69">
        <f t="shared" si="27"/>
        <v>-30624</v>
      </c>
      <c r="Z26" s="142">
        <f t="shared" si="27"/>
        <v>-114474</v>
      </c>
      <c r="AA26" s="69">
        <f t="shared" si="27"/>
        <v>-21656</v>
      </c>
      <c r="AB26" s="69">
        <f t="shared" si="27"/>
        <v>-23972</v>
      </c>
      <c r="AC26" s="69">
        <f t="shared" si="27"/>
        <v>-22113</v>
      </c>
      <c r="AD26" s="69">
        <f t="shared" si="27"/>
        <v>-27371</v>
      </c>
      <c r="AE26" s="142">
        <f t="shared" si="27"/>
        <v>-95112</v>
      </c>
      <c r="AF26" s="69">
        <f t="shared" si="27"/>
        <v>-26565</v>
      </c>
      <c r="AG26" s="69">
        <f t="shared" si="27"/>
        <v>-29051</v>
      </c>
      <c r="AH26" s="69">
        <f t="shared" si="27"/>
        <v>-28074</v>
      </c>
      <c r="AI26" s="69">
        <f t="shared" si="27"/>
        <v>-32073</v>
      </c>
      <c r="AJ26" s="142">
        <f t="shared" si="27"/>
        <v>-115763</v>
      </c>
      <c r="AK26" s="69">
        <f t="shared" si="27"/>
        <v>-26889</v>
      </c>
      <c r="AL26" s="69">
        <f t="shared" si="27"/>
        <v>-27782</v>
      </c>
      <c r="AM26" s="69">
        <f t="shared" si="27"/>
        <v>-31014</v>
      </c>
      <c r="AN26" s="69">
        <f>SUM(AN18:AN25)</f>
        <v>-23561</v>
      </c>
      <c r="AO26" s="142">
        <f t="shared" ref="AO26" si="28">SUM(AO18:AO25)</f>
        <v>-109246</v>
      </c>
      <c r="AP26" s="279"/>
    </row>
    <row r="27" spans="1:42" ht="15" customHeight="1" x14ac:dyDescent="0.25">
      <c r="A27" s="1" t="s">
        <v>109</v>
      </c>
      <c r="B27" s="68">
        <f t="shared" ref="B27:AM27" si="29">B4+B11+B18</f>
        <v>-88475</v>
      </c>
      <c r="C27" s="68">
        <f t="shared" si="29"/>
        <v>-99984</v>
      </c>
      <c r="D27" s="68">
        <f t="shared" si="29"/>
        <v>-98667</v>
      </c>
      <c r="E27" s="68">
        <f t="shared" si="29"/>
        <v>-108355</v>
      </c>
      <c r="F27" s="73">
        <f t="shared" si="29"/>
        <v>-395482</v>
      </c>
      <c r="G27" s="68">
        <f t="shared" si="29"/>
        <v>-116372</v>
      </c>
      <c r="H27" s="68">
        <f t="shared" si="29"/>
        <v>-128070</v>
      </c>
      <c r="I27" s="68">
        <f t="shared" si="29"/>
        <v>-131357</v>
      </c>
      <c r="J27" s="68">
        <f t="shared" si="29"/>
        <v>-148173</v>
      </c>
      <c r="K27" s="73">
        <f t="shared" si="29"/>
        <v>-523971</v>
      </c>
      <c r="L27" s="68">
        <f t="shared" si="29"/>
        <v>-161767</v>
      </c>
      <c r="M27" s="68">
        <f t="shared" si="29"/>
        <v>-173750</v>
      </c>
      <c r="N27" s="68">
        <f t="shared" si="29"/>
        <v>-171433</v>
      </c>
      <c r="O27" s="68">
        <f t="shared" si="29"/>
        <v>-174701</v>
      </c>
      <c r="P27" s="141">
        <f t="shared" si="29"/>
        <v>-681651</v>
      </c>
      <c r="Q27" s="68">
        <f t="shared" si="29"/>
        <v>-175558</v>
      </c>
      <c r="R27" s="68">
        <f t="shared" si="29"/>
        <v>-175914</v>
      </c>
      <c r="S27" s="68">
        <f t="shared" si="29"/>
        <v>-164785</v>
      </c>
      <c r="T27" s="68">
        <f t="shared" si="29"/>
        <v>-170872</v>
      </c>
      <c r="U27" s="141">
        <f t="shared" si="29"/>
        <v>-687129</v>
      </c>
      <c r="V27" s="68">
        <f t="shared" si="29"/>
        <v>-176256</v>
      </c>
      <c r="W27" s="68">
        <f t="shared" si="29"/>
        <v>-175285</v>
      </c>
      <c r="X27" s="68">
        <f t="shared" si="29"/>
        <v>-160234</v>
      </c>
      <c r="Y27" s="68">
        <f t="shared" si="29"/>
        <v>-176047</v>
      </c>
      <c r="Z27" s="141">
        <f t="shared" si="29"/>
        <v>-687822</v>
      </c>
      <c r="AA27" s="68">
        <f t="shared" si="29"/>
        <v>-148404</v>
      </c>
      <c r="AB27" s="68">
        <f t="shared" si="29"/>
        <v>-136213</v>
      </c>
      <c r="AC27" s="68">
        <f t="shared" si="29"/>
        <v>-143285</v>
      </c>
      <c r="AD27" s="68">
        <f t="shared" si="29"/>
        <v>-151291</v>
      </c>
      <c r="AE27" s="141">
        <f t="shared" si="29"/>
        <v>-579193</v>
      </c>
      <c r="AF27" s="68">
        <f t="shared" si="29"/>
        <v>-144479</v>
      </c>
      <c r="AG27" s="68">
        <f t="shared" si="29"/>
        <v>-163140</v>
      </c>
      <c r="AH27" s="68">
        <f t="shared" si="29"/>
        <v>-143841</v>
      </c>
      <c r="AI27" s="68">
        <f t="shared" si="29"/>
        <v>-178607</v>
      </c>
      <c r="AJ27" s="141">
        <f t="shared" si="29"/>
        <v>-630067</v>
      </c>
      <c r="AK27" s="68">
        <f t="shared" si="29"/>
        <v>-156362</v>
      </c>
      <c r="AL27" s="68">
        <f t="shared" si="29"/>
        <v>-241481</v>
      </c>
      <c r="AM27" s="68">
        <f t="shared" si="29"/>
        <v>-175129</v>
      </c>
      <c r="AN27" s="68">
        <f t="shared" ref="AN27:AO27" si="30">AN4+AN11+AN18</f>
        <v>-197950</v>
      </c>
      <c r="AO27" s="141">
        <f t="shared" si="30"/>
        <v>-770922</v>
      </c>
      <c r="AP27" s="278"/>
    </row>
    <row r="28" spans="1:42" ht="15" customHeight="1" x14ac:dyDescent="0.25">
      <c r="A28" s="16" t="s">
        <v>187</v>
      </c>
      <c r="B28" s="71">
        <f t="shared" ref="B28:AM28" si="31">SUM(B5,B12,B19)</f>
        <v>6317</v>
      </c>
      <c r="C28" s="71">
        <f t="shared" si="31"/>
        <v>5325</v>
      </c>
      <c r="D28" s="71">
        <f t="shared" si="31"/>
        <v>4600</v>
      </c>
      <c r="E28" s="71">
        <f t="shared" si="31"/>
        <v>7748</v>
      </c>
      <c r="F28" s="76">
        <f t="shared" si="31"/>
        <v>23989</v>
      </c>
      <c r="G28" s="71">
        <f t="shared" si="31"/>
        <v>8370</v>
      </c>
      <c r="H28" s="71">
        <f t="shared" si="31"/>
        <v>7695</v>
      </c>
      <c r="I28" s="71">
        <f t="shared" si="31"/>
        <v>13965</v>
      </c>
      <c r="J28" s="71">
        <f t="shared" si="31"/>
        <v>13229</v>
      </c>
      <c r="K28" s="76">
        <f t="shared" si="31"/>
        <v>43259</v>
      </c>
      <c r="L28" s="71">
        <f t="shared" si="31"/>
        <v>14940</v>
      </c>
      <c r="M28" s="71">
        <f t="shared" si="31"/>
        <v>14918</v>
      </c>
      <c r="N28" s="71">
        <f t="shared" si="31"/>
        <v>22028</v>
      </c>
      <c r="O28" s="71">
        <f t="shared" si="31"/>
        <v>20464</v>
      </c>
      <c r="P28" s="118">
        <f t="shared" si="31"/>
        <v>72351</v>
      </c>
      <c r="Q28" s="71">
        <f t="shared" si="31"/>
        <v>19303</v>
      </c>
      <c r="R28" s="71">
        <f t="shared" si="31"/>
        <v>20245</v>
      </c>
      <c r="S28" s="71">
        <f t="shared" si="31"/>
        <v>17261</v>
      </c>
      <c r="T28" s="71">
        <f t="shared" si="31"/>
        <v>10267</v>
      </c>
      <c r="U28" s="118">
        <f t="shared" si="31"/>
        <v>67076</v>
      </c>
      <c r="V28" s="71">
        <f t="shared" si="31"/>
        <v>13882</v>
      </c>
      <c r="W28" s="71">
        <f t="shared" si="31"/>
        <v>14391</v>
      </c>
      <c r="X28" s="71">
        <f t="shared" si="31"/>
        <v>11770</v>
      </c>
      <c r="Y28" s="71">
        <f t="shared" si="31"/>
        <v>9089</v>
      </c>
      <c r="Z28" s="118">
        <f t="shared" si="31"/>
        <v>49132</v>
      </c>
      <c r="AA28" s="71">
        <f t="shared" si="31"/>
        <v>8503</v>
      </c>
      <c r="AB28" s="71">
        <f t="shared" si="31"/>
        <v>7159</v>
      </c>
      <c r="AC28" s="71">
        <f t="shared" si="31"/>
        <v>6803</v>
      </c>
      <c r="AD28" s="71">
        <f t="shared" si="31"/>
        <v>8960</v>
      </c>
      <c r="AE28" s="118">
        <f t="shared" si="31"/>
        <v>31425</v>
      </c>
      <c r="AF28" s="71">
        <f t="shared" si="31"/>
        <v>7882</v>
      </c>
      <c r="AG28" s="71">
        <f t="shared" si="31"/>
        <v>11669</v>
      </c>
      <c r="AH28" s="71">
        <f t="shared" si="31"/>
        <v>13290</v>
      </c>
      <c r="AI28" s="71">
        <f t="shared" si="31"/>
        <v>12114</v>
      </c>
      <c r="AJ28" s="118">
        <f t="shared" si="31"/>
        <v>44955</v>
      </c>
      <c r="AK28" s="71">
        <f t="shared" si="31"/>
        <v>9490</v>
      </c>
      <c r="AL28" s="71">
        <f t="shared" si="31"/>
        <v>12020</v>
      </c>
      <c r="AM28" s="71">
        <f t="shared" si="31"/>
        <v>21084</v>
      </c>
      <c r="AN28" s="71">
        <f t="shared" ref="AN28:AO28" si="32">SUM(AN5,AN12,AN19)</f>
        <v>22441</v>
      </c>
      <c r="AO28" s="118">
        <f t="shared" si="32"/>
        <v>65035</v>
      </c>
      <c r="AP28" s="277"/>
    </row>
    <row r="29" spans="1:42" ht="15" customHeight="1" x14ac:dyDescent="0.25">
      <c r="A29" s="16" t="s">
        <v>188</v>
      </c>
      <c r="B29" s="38">
        <f t="shared" ref="B29:AM29" si="33">SUM(B6,B13,B20)</f>
        <v>2457</v>
      </c>
      <c r="C29" s="38">
        <f t="shared" si="33"/>
        <v>3465</v>
      </c>
      <c r="D29" s="38">
        <f t="shared" si="33"/>
        <v>3389</v>
      </c>
      <c r="E29" s="38">
        <f t="shared" si="33"/>
        <v>5388</v>
      </c>
      <c r="F29" s="49">
        <f t="shared" si="33"/>
        <v>14699</v>
      </c>
      <c r="G29" s="38">
        <f t="shared" si="33"/>
        <v>4296</v>
      </c>
      <c r="H29" s="38">
        <f t="shared" si="33"/>
        <v>4080</v>
      </c>
      <c r="I29" s="38">
        <f t="shared" si="33"/>
        <v>4365</v>
      </c>
      <c r="J29" s="38">
        <f t="shared" si="33"/>
        <v>5567</v>
      </c>
      <c r="K29" s="49">
        <f t="shared" si="33"/>
        <v>18310</v>
      </c>
      <c r="L29" s="38">
        <f t="shared" si="33"/>
        <v>9076</v>
      </c>
      <c r="M29" s="38">
        <f t="shared" si="33"/>
        <v>9303</v>
      </c>
      <c r="N29" s="38">
        <f t="shared" si="33"/>
        <v>9435</v>
      </c>
      <c r="O29" s="38">
        <f t="shared" si="33"/>
        <v>8995</v>
      </c>
      <c r="P29" s="105">
        <f t="shared" si="33"/>
        <v>36808</v>
      </c>
      <c r="Q29" s="38">
        <f t="shared" si="33"/>
        <v>8397</v>
      </c>
      <c r="R29" s="38">
        <f t="shared" si="33"/>
        <v>8510</v>
      </c>
      <c r="S29" s="38">
        <f t="shared" si="33"/>
        <v>9048</v>
      </c>
      <c r="T29" s="38">
        <f t="shared" si="33"/>
        <v>10198</v>
      </c>
      <c r="U29" s="105">
        <f t="shared" si="33"/>
        <v>36153</v>
      </c>
      <c r="V29" s="38">
        <f t="shared" si="33"/>
        <v>10161</v>
      </c>
      <c r="W29" s="38">
        <f t="shared" si="33"/>
        <v>10468</v>
      </c>
      <c r="X29" s="38">
        <f t="shared" si="33"/>
        <v>10195</v>
      </c>
      <c r="Y29" s="38">
        <f t="shared" si="33"/>
        <v>17798</v>
      </c>
      <c r="Z29" s="105">
        <f t="shared" si="33"/>
        <v>48622</v>
      </c>
      <c r="AA29" s="38">
        <f t="shared" si="33"/>
        <v>11367</v>
      </c>
      <c r="AB29" s="38">
        <f t="shared" si="33"/>
        <v>7110</v>
      </c>
      <c r="AC29" s="38">
        <f t="shared" si="33"/>
        <v>7040</v>
      </c>
      <c r="AD29" s="38">
        <f t="shared" si="33"/>
        <v>6786</v>
      </c>
      <c r="AE29" s="105">
        <f t="shared" si="33"/>
        <v>32303</v>
      </c>
      <c r="AF29" s="38">
        <f t="shared" si="33"/>
        <v>6610</v>
      </c>
      <c r="AG29" s="38">
        <f t="shared" si="33"/>
        <v>6747</v>
      </c>
      <c r="AH29" s="38">
        <f t="shared" si="33"/>
        <v>6781</v>
      </c>
      <c r="AI29" s="38">
        <f t="shared" si="33"/>
        <v>7145</v>
      </c>
      <c r="AJ29" s="105">
        <f t="shared" si="33"/>
        <v>27283</v>
      </c>
      <c r="AK29" s="38">
        <f t="shared" si="33"/>
        <v>7512</v>
      </c>
      <c r="AL29" s="38">
        <f t="shared" si="33"/>
        <v>7516</v>
      </c>
      <c r="AM29" s="38">
        <f t="shared" si="33"/>
        <v>7311</v>
      </c>
      <c r="AN29" s="38">
        <f t="shared" ref="AN29:AO29" si="34">SUM(AN6,AN13,AN20)</f>
        <v>15797</v>
      </c>
      <c r="AO29" s="105">
        <f t="shared" si="34"/>
        <v>38136</v>
      </c>
      <c r="AP29" s="277"/>
    </row>
    <row r="30" spans="1:42" ht="15" customHeight="1" x14ac:dyDescent="0.25">
      <c r="A30" s="16" t="s">
        <v>189</v>
      </c>
      <c r="B30" s="38">
        <f t="shared" ref="B30:AM30" si="35">SUM(B7,B14,B21)</f>
        <v>112</v>
      </c>
      <c r="C30" s="38">
        <f t="shared" si="35"/>
        <v>110</v>
      </c>
      <c r="D30" s="38">
        <f t="shared" si="35"/>
        <v>110</v>
      </c>
      <c r="E30" s="38">
        <f t="shared" si="35"/>
        <v>109</v>
      </c>
      <c r="F30" s="49">
        <f t="shared" si="35"/>
        <v>441</v>
      </c>
      <c r="G30" s="38">
        <f t="shared" si="35"/>
        <v>129</v>
      </c>
      <c r="H30" s="38">
        <f t="shared" si="35"/>
        <v>131</v>
      </c>
      <c r="I30" s="38">
        <f t="shared" si="35"/>
        <v>132</v>
      </c>
      <c r="J30" s="38">
        <f t="shared" si="35"/>
        <v>133</v>
      </c>
      <c r="K30" s="49">
        <f t="shared" si="35"/>
        <v>524</v>
      </c>
      <c r="L30" s="38">
        <f t="shared" si="35"/>
        <v>290</v>
      </c>
      <c r="M30" s="38">
        <f t="shared" si="35"/>
        <v>299</v>
      </c>
      <c r="N30" s="38">
        <f t="shared" si="35"/>
        <v>320</v>
      </c>
      <c r="O30" s="38">
        <f t="shared" si="35"/>
        <v>321</v>
      </c>
      <c r="P30" s="105">
        <f t="shared" si="35"/>
        <v>1231</v>
      </c>
      <c r="Q30" s="38">
        <f t="shared" si="35"/>
        <v>434</v>
      </c>
      <c r="R30" s="38">
        <f t="shared" si="35"/>
        <v>419</v>
      </c>
      <c r="S30" s="38">
        <f t="shared" si="35"/>
        <v>419</v>
      </c>
      <c r="T30" s="38">
        <f t="shared" si="35"/>
        <v>419</v>
      </c>
      <c r="U30" s="105">
        <f t="shared" si="35"/>
        <v>1691</v>
      </c>
      <c r="V30" s="38">
        <f t="shared" si="35"/>
        <v>394</v>
      </c>
      <c r="W30" s="38">
        <f t="shared" si="35"/>
        <v>391</v>
      </c>
      <c r="X30" s="38">
        <f t="shared" si="35"/>
        <v>388</v>
      </c>
      <c r="Y30" s="38">
        <f t="shared" si="35"/>
        <v>383</v>
      </c>
      <c r="Z30" s="105">
        <f t="shared" si="35"/>
        <v>1556</v>
      </c>
      <c r="AA30" s="38">
        <f t="shared" si="35"/>
        <v>538</v>
      </c>
      <c r="AB30" s="38">
        <f t="shared" si="35"/>
        <v>539</v>
      </c>
      <c r="AC30" s="38">
        <f t="shared" si="35"/>
        <v>572</v>
      </c>
      <c r="AD30" s="38">
        <f t="shared" si="35"/>
        <v>583</v>
      </c>
      <c r="AE30" s="105">
        <f t="shared" si="35"/>
        <v>2232</v>
      </c>
      <c r="AF30" s="38">
        <f t="shared" si="35"/>
        <v>338</v>
      </c>
      <c r="AG30" s="38">
        <f t="shared" si="35"/>
        <v>337</v>
      </c>
      <c r="AH30" s="38">
        <f t="shared" si="35"/>
        <v>330</v>
      </c>
      <c r="AI30" s="38">
        <f t="shared" si="35"/>
        <v>319</v>
      </c>
      <c r="AJ30" s="105">
        <f t="shared" si="35"/>
        <v>1324</v>
      </c>
      <c r="AK30" s="38">
        <f t="shared" si="35"/>
        <v>275</v>
      </c>
      <c r="AL30" s="38">
        <f t="shared" si="35"/>
        <v>264</v>
      </c>
      <c r="AM30" s="38">
        <f t="shared" si="35"/>
        <v>247</v>
      </c>
      <c r="AN30" s="38">
        <f t="shared" ref="AN30:AO30" si="36">SUM(AN7,AN14,AN21)</f>
        <v>970</v>
      </c>
      <c r="AO30" s="105">
        <f t="shared" si="36"/>
        <v>1756</v>
      </c>
      <c r="AP30" s="277"/>
    </row>
    <row r="31" spans="1:42" ht="15" customHeight="1" x14ac:dyDescent="0.25">
      <c r="A31" s="16" t="s">
        <v>197</v>
      </c>
      <c r="B31" s="38">
        <f t="shared" ref="B31:AK31" si="37">SUM(B22)</f>
        <v>0</v>
      </c>
      <c r="C31" s="38">
        <f t="shared" si="37"/>
        <v>0</v>
      </c>
      <c r="D31" s="38">
        <f t="shared" si="37"/>
        <v>0</v>
      </c>
      <c r="E31" s="38">
        <f t="shared" si="37"/>
        <v>0</v>
      </c>
      <c r="F31" s="49">
        <f t="shared" si="37"/>
        <v>0</v>
      </c>
      <c r="G31" s="38">
        <f t="shared" si="37"/>
        <v>0</v>
      </c>
      <c r="H31" s="38">
        <f t="shared" si="37"/>
        <v>148</v>
      </c>
      <c r="I31" s="38">
        <f t="shared" si="37"/>
        <v>1793</v>
      </c>
      <c r="J31" s="38">
        <f t="shared" si="37"/>
        <v>980</v>
      </c>
      <c r="K31" s="49">
        <f t="shared" si="37"/>
        <v>2921</v>
      </c>
      <c r="L31" s="38">
        <f t="shared" si="37"/>
        <v>6</v>
      </c>
      <c r="M31" s="38">
        <f t="shared" si="37"/>
        <v>0</v>
      </c>
      <c r="N31" s="38">
        <f t="shared" si="37"/>
        <v>0</v>
      </c>
      <c r="O31" s="38">
        <f t="shared" si="37"/>
        <v>0</v>
      </c>
      <c r="P31" s="105">
        <f t="shared" si="37"/>
        <v>6</v>
      </c>
      <c r="Q31" s="38">
        <f t="shared" si="37"/>
        <v>0</v>
      </c>
      <c r="R31" s="38">
        <f t="shared" si="37"/>
        <v>0</v>
      </c>
      <c r="S31" s="38">
        <f t="shared" si="37"/>
        <v>516</v>
      </c>
      <c r="T31" s="38">
        <f t="shared" si="37"/>
        <v>1222</v>
      </c>
      <c r="U31" s="105">
        <f t="shared" si="37"/>
        <v>1738</v>
      </c>
      <c r="V31" s="38">
        <f t="shared" si="37"/>
        <v>0</v>
      </c>
      <c r="W31" s="38">
        <f t="shared" si="37"/>
        <v>0</v>
      </c>
      <c r="X31" s="38">
        <f t="shared" si="37"/>
        <v>0</v>
      </c>
      <c r="Y31" s="38">
        <f t="shared" si="37"/>
        <v>0</v>
      </c>
      <c r="Z31" s="105">
        <f t="shared" si="37"/>
        <v>0</v>
      </c>
      <c r="AA31" s="38">
        <f t="shared" si="37"/>
        <v>0</v>
      </c>
      <c r="AB31" s="38">
        <f t="shared" si="37"/>
        <v>0</v>
      </c>
      <c r="AC31" s="38">
        <f t="shared" si="37"/>
        <v>112</v>
      </c>
      <c r="AD31" s="38">
        <f t="shared" si="37"/>
        <v>174</v>
      </c>
      <c r="AE31" s="105">
        <f t="shared" si="37"/>
        <v>286</v>
      </c>
      <c r="AF31" s="38">
        <f t="shared" si="37"/>
        <v>0</v>
      </c>
      <c r="AG31" s="38">
        <f t="shared" si="37"/>
        <v>3047</v>
      </c>
      <c r="AH31" s="38">
        <f t="shared" si="37"/>
        <v>2091</v>
      </c>
      <c r="AI31" s="38">
        <f t="shared" si="37"/>
        <v>6118</v>
      </c>
      <c r="AJ31" s="105">
        <f t="shared" si="37"/>
        <v>11256</v>
      </c>
      <c r="AK31" s="38">
        <f t="shared" si="37"/>
        <v>2544</v>
      </c>
      <c r="AL31" s="38">
        <f>SUM(AL22,AL15)</f>
        <v>1977</v>
      </c>
      <c r="AM31" s="38">
        <f>SUM(AM22,AM15)</f>
        <v>6970</v>
      </c>
      <c r="AN31" s="38">
        <f>SUM(AN22+AN15)</f>
        <v>1093</v>
      </c>
      <c r="AO31" s="105">
        <f>SUM(AO22,AO15)</f>
        <v>12584</v>
      </c>
      <c r="AP31" s="280"/>
    </row>
    <row r="32" spans="1:42" ht="15" customHeight="1" x14ac:dyDescent="0.25">
      <c r="A32" s="16" t="s">
        <v>191</v>
      </c>
      <c r="B32" s="38">
        <f t="shared" ref="B32:AM32" si="38">SUM(B9,B25)</f>
        <v>109</v>
      </c>
      <c r="C32" s="38">
        <f t="shared" si="38"/>
        <v>115</v>
      </c>
      <c r="D32" s="38">
        <f t="shared" si="38"/>
        <v>54</v>
      </c>
      <c r="E32" s="38">
        <f t="shared" si="38"/>
        <v>-2172</v>
      </c>
      <c r="F32" s="49">
        <f t="shared" si="38"/>
        <v>-1894</v>
      </c>
      <c r="G32" s="38">
        <f t="shared" si="38"/>
        <v>40</v>
      </c>
      <c r="H32" s="38">
        <f t="shared" si="38"/>
        <v>44</v>
      </c>
      <c r="I32" s="38">
        <f t="shared" si="38"/>
        <v>3</v>
      </c>
      <c r="J32" s="38">
        <f t="shared" si="38"/>
        <v>-3</v>
      </c>
      <c r="K32" s="49">
        <f t="shared" si="38"/>
        <v>85</v>
      </c>
      <c r="L32" s="38">
        <f t="shared" si="38"/>
        <v>0</v>
      </c>
      <c r="M32" s="38">
        <f t="shared" si="38"/>
        <v>0</v>
      </c>
      <c r="N32" s="38">
        <f t="shared" si="38"/>
        <v>0</v>
      </c>
      <c r="O32" s="38">
        <f t="shared" si="38"/>
        <v>0</v>
      </c>
      <c r="P32" s="105">
        <f t="shared" si="38"/>
        <v>0</v>
      </c>
      <c r="Q32" s="38">
        <f t="shared" si="38"/>
        <v>0</v>
      </c>
      <c r="R32" s="38">
        <f t="shared" si="38"/>
        <v>0</v>
      </c>
      <c r="S32" s="38">
        <f t="shared" si="38"/>
        <v>0</v>
      </c>
      <c r="T32" s="38">
        <f t="shared" si="38"/>
        <v>0</v>
      </c>
      <c r="U32" s="105">
        <f t="shared" si="38"/>
        <v>0</v>
      </c>
      <c r="V32" s="38">
        <f t="shared" si="38"/>
        <v>0</v>
      </c>
      <c r="W32" s="38">
        <f t="shared" si="38"/>
        <v>0</v>
      </c>
      <c r="X32" s="38">
        <f t="shared" si="38"/>
        <v>0</v>
      </c>
      <c r="Y32" s="38">
        <f t="shared" si="38"/>
        <v>0</v>
      </c>
      <c r="Z32" s="105">
        <f t="shared" si="38"/>
        <v>0</v>
      </c>
      <c r="AA32" s="38">
        <f t="shared" si="38"/>
        <v>0</v>
      </c>
      <c r="AB32" s="38">
        <f t="shared" si="38"/>
        <v>0</v>
      </c>
      <c r="AC32" s="38">
        <f t="shared" si="38"/>
        <v>0</v>
      </c>
      <c r="AD32" s="38">
        <f t="shared" si="38"/>
        <v>0</v>
      </c>
      <c r="AE32" s="105">
        <f t="shared" si="38"/>
        <v>0</v>
      </c>
      <c r="AF32" s="38">
        <f t="shared" si="38"/>
        <v>0</v>
      </c>
      <c r="AG32" s="38">
        <f t="shared" si="38"/>
        <v>0</v>
      </c>
      <c r="AH32" s="38">
        <f t="shared" si="38"/>
        <v>0</v>
      </c>
      <c r="AI32" s="38">
        <f t="shared" si="38"/>
        <v>0</v>
      </c>
      <c r="AJ32" s="105">
        <f t="shared" si="38"/>
        <v>0</v>
      </c>
      <c r="AK32" s="38">
        <f t="shared" si="38"/>
        <v>0</v>
      </c>
      <c r="AL32" s="38">
        <f t="shared" si="38"/>
        <v>0</v>
      </c>
      <c r="AM32" s="38">
        <f t="shared" si="38"/>
        <v>0</v>
      </c>
      <c r="AN32" s="38">
        <f t="shared" ref="AN32:AO32" si="39">SUM(AN9,AN25)</f>
        <v>0</v>
      </c>
      <c r="AO32" s="105">
        <f t="shared" si="39"/>
        <v>0</v>
      </c>
      <c r="AP32" s="277"/>
    </row>
    <row r="33" spans="1:42" ht="15" customHeight="1" x14ac:dyDescent="0.25">
      <c r="A33" s="16" t="s">
        <v>198</v>
      </c>
      <c r="B33" s="38"/>
      <c r="C33" s="38"/>
      <c r="D33" s="38"/>
      <c r="E33" s="38"/>
      <c r="F33" s="49"/>
      <c r="G33" s="38"/>
      <c r="H33" s="38"/>
      <c r="I33" s="38"/>
      <c r="J33" s="38"/>
      <c r="K33" s="49"/>
      <c r="L33" s="38"/>
      <c r="M33" s="38"/>
      <c r="N33" s="38"/>
      <c r="O33" s="38"/>
      <c r="P33" s="105"/>
      <c r="Q33" s="38"/>
      <c r="R33" s="38"/>
      <c r="S33" s="38"/>
      <c r="T33" s="38"/>
      <c r="U33" s="105"/>
      <c r="V33" s="38"/>
      <c r="W33" s="38"/>
      <c r="X33" s="38">
        <v>0</v>
      </c>
      <c r="Y33" s="38">
        <v>0</v>
      </c>
      <c r="Z33" s="105">
        <v>0</v>
      </c>
      <c r="AA33" s="38">
        <v>0</v>
      </c>
      <c r="AB33" s="38">
        <v>0</v>
      </c>
      <c r="AC33" s="38">
        <v>0</v>
      </c>
      <c r="AD33" s="38">
        <v>0</v>
      </c>
      <c r="AE33" s="105">
        <v>0</v>
      </c>
      <c r="AF33" s="38">
        <v>0</v>
      </c>
      <c r="AG33" s="38">
        <v>0</v>
      </c>
      <c r="AH33" s="38">
        <v>0</v>
      </c>
      <c r="AI33" s="38">
        <v>0</v>
      </c>
      <c r="AJ33" s="105">
        <v>0</v>
      </c>
      <c r="AK33" s="38">
        <v>0</v>
      </c>
      <c r="AL33" s="38">
        <v>65684</v>
      </c>
      <c r="AM33" s="38">
        <v>-1764</v>
      </c>
      <c r="AN33" s="38">
        <v>-699</v>
      </c>
      <c r="AO33" s="105">
        <f>SUM(AL33:AN33)</f>
        <v>63221</v>
      </c>
      <c r="AP33" s="277"/>
    </row>
    <row r="34" spans="1:42" ht="15" customHeight="1" x14ac:dyDescent="0.25">
      <c r="A34" s="16" t="s">
        <v>190</v>
      </c>
      <c r="B34" s="38">
        <f t="shared" ref="B34:AL34" si="40">SUM(B16,B23,B8)</f>
        <v>0</v>
      </c>
      <c r="C34" s="38">
        <f t="shared" si="40"/>
        <v>0</v>
      </c>
      <c r="D34" s="38">
        <f t="shared" si="40"/>
        <v>0</v>
      </c>
      <c r="E34" s="38">
        <f t="shared" si="40"/>
        <v>0</v>
      </c>
      <c r="F34" s="49">
        <f t="shared" si="40"/>
        <v>0</v>
      </c>
      <c r="G34" s="38">
        <f t="shared" si="40"/>
        <v>0</v>
      </c>
      <c r="H34" s="38">
        <f t="shared" si="40"/>
        <v>0</v>
      </c>
      <c r="I34" s="38">
        <f t="shared" si="40"/>
        <v>0</v>
      </c>
      <c r="J34" s="38">
        <f t="shared" si="40"/>
        <v>0</v>
      </c>
      <c r="K34" s="49">
        <f t="shared" si="40"/>
        <v>0</v>
      </c>
      <c r="L34" s="38">
        <f t="shared" si="40"/>
        <v>0</v>
      </c>
      <c r="M34" s="38">
        <f t="shared" si="40"/>
        <v>802</v>
      </c>
      <c r="N34" s="38">
        <f t="shared" si="40"/>
        <v>0</v>
      </c>
      <c r="O34" s="38">
        <f t="shared" si="40"/>
        <v>4057</v>
      </c>
      <c r="P34" s="105">
        <f t="shared" si="40"/>
        <v>4859</v>
      </c>
      <c r="Q34" s="38">
        <f t="shared" si="40"/>
        <v>-252</v>
      </c>
      <c r="R34" s="38">
        <f t="shared" si="40"/>
        <v>199</v>
      </c>
      <c r="S34" s="38">
        <f t="shared" si="40"/>
        <v>0</v>
      </c>
      <c r="T34" s="38">
        <f t="shared" si="40"/>
        <v>0</v>
      </c>
      <c r="U34" s="105">
        <f t="shared" si="40"/>
        <v>-53</v>
      </c>
      <c r="V34" s="38">
        <f t="shared" si="40"/>
        <v>1890</v>
      </c>
      <c r="W34" s="38">
        <f t="shared" si="40"/>
        <v>728</v>
      </c>
      <c r="X34" s="38">
        <f t="shared" si="40"/>
        <v>303</v>
      </c>
      <c r="Y34" s="38">
        <f t="shared" si="40"/>
        <v>10661</v>
      </c>
      <c r="Z34" s="105">
        <f t="shared" si="40"/>
        <v>13582</v>
      </c>
      <c r="AA34" s="38">
        <f t="shared" si="40"/>
        <v>2209</v>
      </c>
      <c r="AB34" s="38">
        <f t="shared" si="40"/>
        <v>1216</v>
      </c>
      <c r="AC34" s="38">
        <f t="shared" si="40"/>
        <v>12181</v>
      </c>
      <c r="AD34" s="38">
        <f t="shared" si="40"/>
        <v>4383</v>
      </c>
      <c r="AE34" s="105">
        <f t="shared" si="40"/>
        <v>19989</v>
      </c>
      <c r="AF34" s="38">
        <f t="shared" si="40"/>
        <v>11636</v>
      </c>
      <c r="AG34" s="38">
        <f t="shared" si="40"/>
        <v>9996</v>
      </c>
      <c r="AH34" s="38">
        <f t="shared" si="40"/>
        <v>-1767</v>
      </c>
      <c r="AI34" s="38">
        <f t="shared" si="40"/>
        <v>1833</v>
      </c>
      <c r="AJ34" s="105">
        <f t="shared" si="40"/>
        <v>21698</v>
      </c>
      <c r="AK34" s="38">
        <f t="shared" si="40"/>
        <v>710</v>
      </c>
      <c r="AL34" s="38">
        <f t="shared" si="40"/>
        <v>5925</v>
      </c>
      <c r="AM34" s="38">
        <f>SUM(AM16,AM23,AM8)</f>
        <v>-81</v>
      </c>
      <c r="AN34" s="38">
        <f>SUM(AN16,AN23,AN8)</f>
        <v>4123</v>
      </c>
      <c r="AO34" s="105">
        <f>SUM(AO16,AO23,AO8)</f>
        <v>10677</v>
      </c>
      <c r="AP34" s="277"/>
    </row>
    <row r="35" spans="1:42" ht="15" customHeight="1" x14ac:dyDescent="0.25">
      <c r="A35" s="1" t="s">
        <v>200</v>
      </c>
      <c r="B35" s="59">
        <f t="shared" ref="B35:AH35" si="41">SUM(B27:B34)</f>
        <v>-79480</v>
      </c>
      <c r="C35" s="59">
        <f t="shared" si="41"/>
        <v>-90969</v>
      </c>
      <c r="D35" s="59">
        <f t="shared" si="41"/>
        <v>-90514</v>
      </c>
      <c r="E35" s="59">
        <f t="shared" si="41"/>
        <v>-97282</v>
      </c>
      <c r="F35" s="8">
        <f t="shared" si="41"/>
        <v>-358247</v>
      </c>
      <c r="G35" s="59">
        <f t="shared" si="41"/>
        <v>-103537</v>
      </c>
      <c r="H35" s="59">
        <f t="shared" si="41"/>
        <v>-115972</v>
      </c>
      <c r="I35" s="59">
        <f t="shared" si="41"/>
        <v>-111099</v>
      </c>
      <c r="J35" s="59">
        <f t="shared" si="41"/>
        <v>-128267</v>
      </c>
      <c r="K35" s="8">
        <f t="shared" si="41"/>
        <v>-458872</v>
      </c>
      <c r="L35" s="59">
        <f t="shared" si="41"/>
        <v>-137455</v>
      </c>
      <c r="M35" s="59">
        <f t="shared" si="41"/>
        <v>-148428</v>
      </c>
      <c r="N35" s="59">
        <f t="shared" si="41"/>
        <v>-139650</v>
      </c>
      <c r="O35" s="59">
        <f t="shared" si="41"/>
        <v>-140864</v>
      </c>
      <c r="P35" s="116">
        <f t="shared" si="41"/>
        <v>-566396</v>
      </c>
      <c r="Q35" s="59">
        <f t="shared" si="41"/>
        <v>-147676</v>
      </c>
      <c r="R35" s="59">
        <f t="shared" si="41"/>
        <v>-146541</v>
      </c>
      <c r="S35" s="59">
        <f t="shared" si="41"/>
        <v>-137541</v>
      </c>
      <c r="T35" s="59">
        <f t="shared" si="41"/>
        <v>-148766</v>
      </c>
      <c r="U35" s="116">
        <f t="shared" si="41"/>
        <v>-580524</v>
      </c>
      <c r="V35" s="59">
        <f t="shared" si="41"/>
        <v>-149929</v>
      </c>
      <c r="W35" s="59">
        <f t="shared" si="41"/>
        <v>-149307</v>
      </c>
      <c r="X35" s="59">
        <f t="shared" si="41"/>
        <v>-137578</v>
      </c>
      <c r="Y35" s="59">
        <f t="shared" si="41"/>
        <v>-138116</v>
      </c>
      <c r="Z35" s="116">
        <f t="shared" si="41"/>
        <v>-574930</v>
      </c>
      <c r="AA35" s="59">
        <f t="shared" si="41"/>
        <v>-125787</v>
      </c>
      <c r="AB35" s="59">
        <f t="shared" si="41"/>
        <v>-120189</v>
      </c>
      <c r="AC35" s="59">
        <f t="shared" si="41"/>
        <v>-116577</v>
      </c>
      <c r="AD35" s="59">
        <f t="shared" si="41"/>
        <v>-130405</v>
      </c>
      <c r="AE35" s="116">
        <f t="shared" si="41"/>
        <v>-492958</v>
      </c>
      <c r="AF35" s="59">
        <f t="shared" si="41"/>
        <v>-118013</v>
      </c>
      <c r="AG35" s="59">
        <f t="shared" si="41"/>
        <v>-131344</v>
      </c>
      <c r="AH35" s="59">
        <f t="shared" si="41"/>
        <v>-123116</v>
      </c>
      <c r="AI35" s="59">
        <f t="shared" ref="AI35:AJ35" si="42">SUM(AI27:AI34)</f>
        <v>-151078</v>
      </c>
      <c r="AJ35" s="116">
        <f t="shared" si="42"/>
        <v>-523551</v>
      </c>
      <c r="AK35" s="59">
        <f>SUM(AK27:AK34)</f>
        <v>-135831</v>
      </c>
      <c r="AL35" s="59">
        <f>SUM(AL27:AL34)</f>
        <v>-148095</v>
      </c>
      <c r="AM35" s="59">
        <f>SUM(AM27:AM34)</f>
        <v>-141362</v>
      </c>
      <c r="AN35" s="59">
        <f t="shared" ref="AN35:AO35" si="43">SUM(AN27:AN34)</f>
        <v>-154225</v>
      </c>
      <c r="AO35" s="116">
        <f t="shared" si="43"/>
        <v>-579513</v>
      </c>
      <c r="AP35" s="276"/>
    </row>
    <row r="36" spans="1:42" ht="15" customHeight="1" x14ac:dyDescent="0.25">
      <c r="F36" s="9"/>
      <c r="K36" s="9"/>
      <c r="P36" s="100"/>
      <c r="U36" s="100"/>
      <c r="Z36" s="100"/>
      <c r="AE36" s="100"/>
      <c r="AJ36" s="100"/>
      <c r="AO36" s="100"/>
    </row>
    <row r="37" spans="1:42" ht="77.849999999999994" customHeight="1" x14ac:dyDescent="0.25">
      <c r="A37" s="281" t="s">
        <v>201</v>
      </c>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row>
    <row r="38" spans="1:42" ht="15" customHeight="1" x14ac:dyDescent="0.25"/>
    <row r="39" spans="1:42" ht="15" customHeight="1" x14ac:dyDescent="0.25"/>
    <row r="40" spans="1:42" ht="15" customHeight="1" x14ac:dyDescent="0.25"/>
    <row r="41" spans="1:42" ht="15" customHeight="1" x14ac:dyDescent="0.25"/>
    <row r="42" spans="1:42" ht="15" customHeight="1" x14ac:dyDescent="0.25"/>
    <row r="43" spans="1:42" ht="15" customHeight="1" x14ac:dyDescent="0.25"/>
    <row r="44" spans="1:42" ht="15" customHeight="1" x14ac:dyDescent="0.25"/>
    <row r="45" spans="1:42" ht="15" customHeight="1" x14ac:dyDescent="0.25"/>
    <row r="46" spans="1:42" ht="15" customHeight="1" x14ac:dyDescent="0.25"/>
    <row r="47" spans="1:42" ht="15" customHeight="1" x14ac:dyDescent="0.25"/>
    <row r="48" spans="1:4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sheetData>
  <mergeCells count="1">
    <mergeCell ref="A37:AE37"/>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R92"/>
  <sheetViews>
    <sheetView showGridLines="0" zoomScale="95" zoomScaleNormal="95" workbookViewId="0">
      <pane xSplit="11" topLeftCell="AC1" activePane="topRight" state="frozen"/>
      <selection pane="topRight" activeCell="AJ38" sqref="AJ38"/>
    </sheetView>
  </sheetViews>
  <sheetFormatPr defaultColWidth="12.6640625" defaultRowHeight="13.2" outlineLevelCol="1" x14ac:dyDescent="0.25"/>
  <cols>
    <col min="1" max="1" width="47.77734375" style="151" bestFit="1" customWidth="1"/>
    <col min="2" max="11" width="12.6640625" style="151" hidden="1" customWidth="1" outlineLevel="1"/>
    <col min="12" max="12" width="12.6640625" style="151" hidden="1" customWidth="1" outlineLevel="1" collapsed="1"/>
    <col min="13" max="13" width="12.6640625" style="151" hidden="1" customWidth="1" outlineLevel="1"/>
    <col min="14" max="14" width="12.6640625" style="151" hidden="1" customWidth="1" outlineLevel="1" collapsed="1"/>
    <col min="15" max="18" width="12.6640625" style="151" hidden="1" customWidth="1" outlineLevel="1"/>
    <col min="19" max="19" width="0" style="151" hidden="1" customWidth="1" outlineLevel="1"/>
    <col min="20" max="20" width="0" style="151" hidden="1" customWidth="1" collapsed="1"/>
    <col min="21" max="23" width="0" style="151" hidden="1" customWidth="1"/>
    <col min="24" max="24" width="12.6640625" style="151" hidden="1" customWidth="1"/>
    <col min="25" max="28" width="0" style="151" hidden="1" customWidth="1"/>
    <col min="29" max="32" width="12.6640625" style="151"/>
    <col min="33" max="33" width="12.6640625" style="151" customWidth="1"/>
    <col min="34" max="16384" width="12.6640625" style="151"/>
  </cols>
  <sheetData>
    <row r="1" spans="1:42" ht="14.1" customHeight="1" x14ac:dyDescent="0.25">
      <c r="A1" s="210" t="s">
        <v>202</v>
      </c>
    </row>
    <row r="2" spans="1:42" x14ac:dyDescent="0.25">
      <c r="A2" s="12" t="s">
        <v>4</v>
      </c>
    </row>
    <row r="3" spans="1:42" ht="24" customHeight="1" x14ac:dyDescent="0.25">
      <c r="A3" s="154"/>
      <c r="B3" s="123" t="s">
        <v>61</v>
      </c>
      <c r="C3" s="123" t="s">
        <v>62</v>
      </c>
      <c r="D3" s="123" t="s">
        <v>63</v>
      </c>
      <c r="E3" s="123" t="s">
        <v>64</v>
      </c>
      <c r="F3" s="211" t="s">
        <v>65</v>
      </c>
      <c r="G3" s="123" t="s">
        <v>66</v>
      </c>
      <c r="H3" s="123" t="s">
        <v>67</v>
      </c>
      <c r="I3" s="123" t="s">
        <v>68</v>
      </c>
      <c r="J3" s="123" t="s">
        <v>69</v>
      </c>
      <c r="K3" s="211" t="s">
        <v>70</v>
      </c>
      <c r="L3" s="123" t="s">
        <v>71</v>
      </c>
      <c r="M3" s="123" t="s">
        <v>72</v>
      </c>
      <c r="N3" s="123" t="s">
        <v>73</v>
      </c>
      <c r="O3" s="123" t="s">
        <v>74</v>
      </c>
      <c r="P3" s="212" t="s">
        <v>75</v>
      </c>
      <c r="Q3" s="123" t="s">
        <v>76</v>
      </c>
      <c r="R3" s="123" t="s">
        <v>77</v>
      </c>
      <c r="S3" s="123" t="s">
        <v>78</v>
      </c>
      <c r="T3" s="123" t="s">
        <v>79</v>
      </c>
      <c r="U3" s="212" t="s">
        <v>80</v>
      </c>
      <c r="V3" s="123" t="s">
        <v>81</v>
      </c>
      <c r="W3" s="123" t="s">
        <v>82</v>
      </c>
      <c r="X3" s="123" t="s">
        <v>83</v>
      </c>
      <c r="Y3" s="123" t="s">
        <v>84</v>
      </c>
      <c r="Z3" s="212" t="s">
        <v>85</v>
      </c>
      <c r="AA3" s="123" t="s">
        <v>86</v>
      </c>
      <c r="AB3" s="123" t="s">
        <v>87</v>
      </c>
      <c r="AC3" s="123" t="s">
        <v>88</v>
      </c>
      <c r="AD3" s="123" t="s">
        <v>89</v>
      </c>
      <c r="AE3" s="212" t="s">
        <v>90</v>
      </c>
      <c r="AF3" s="123" t="s">
        <v>91</v>
      </c>
      <c r="AG3" s="123" t="s">
        <v>92</v>
      </c>
      <c r="AH3" s="123" t="s">
        <v>93</v>
      </c>
      <c r="AI3" s="123" t="s">
        <v>94</v>
      </c>
      <c r="AJ3" s="212" t="s">
        <v>95</v>
      </c>
      <c r="AK3" s="123" t="s">
        <v>96</v>
      </c>
      <c r="AL3" s="123" t="s">
        <v>97</v>
      </c>
      <c r="AM3" s="123" t="s">
        <v>98</v>
      </c>
      <c r="AN3" s="123" t="s">
        <v>99</v>
      </c>
      <c r="AO3" s="212" t="s">
        <v>100</v>
      </c>
    </row>
    <row r="4" spans="1:42" ht="15" customHeight="1" x14ac:dyDescent="0.25">
      <c r="A4" s="154" t="s">
        <v>122</v>
      </c>
      <c r="B4" s="213">
        <f>'P&amp;L'!B22</f>
        <v>13617</v>
      </c>
      <c r="C4" s="213">
        <f>'P&amp;L'!C22</f>
        <v>3929</v>
      </c>
      <c r="D4" s="213">
        <f>'P&amp;L'!D22</f>
        <v>5793</v>
      </c>
      <c r="E4" s="213">
        <f>'P&amp;L'!E22</f>
        <v>38938</v>
      </c>
      <c r="F4" s="214">
        <f>'P&amp;L'!F22</f>
        <v>62276</v>
      </c>
      <c r="G4" s="213">
        <f>'P&amp;L'!G22</f>
        <v>18527</v>
      </c>
      <c r="H4" s="213">
        <f>'P&amp;L'!H22</f>
        <v>13339</v>
      </c>
      <c r="I4" s="213">
        <f>'P&amp;L'!I22</f>
        <v>14724</v>
      </c>
      <c r="J4" s="213">
        <f>'P&amp;L'!J22</f>
        <v>40740</v>
      </c>
      <c r="K4" s="214">
        <f>'P&amp;L'!K22</f>
        <v>87329</v>
      </c>
      <c r="L4" s="213">
        <f>'P&amp;L'!L22</f>
        <v>14518</v>
      </c>
      <c r="M4" s="213">
        <f>'P&amp;L'!M22</f>
        <v>7505</v>
      </c>
      <c r="N4" s="213">
        <f>'P&amp;L'!N22</f>
        <v>22269</v>
      </c>
      <c r="O4" s="213">
        <f>'P&amp;L'!O22</f>
        <v>52368</v>
      </c>
      <c r="P4" s="215">
        <f>'P&amp;L'!P22</f>
        <v>96659</v>
      </c>
      <c r="Q4" s="213">
        <f>'P&amp;L'!Q22</f>
        <v>21090</v>
      </c>
      <c r="R4" s="213">
        <f>'P&amp;L'!R22</f>
        <v>14707</v>
      </c>
      <c r="S4" s="213">
        <f>'P&amp;L'!S22</f>
        <v>17948</v>
      </c>
      <c r="T4" s="213">
        <f>'P&amp;L'!T22</f>
        <v>42134</v>
      </c>
      <c r="U4" s="215">
        <f>'P&amp;L'!U22</f>
        <v>95879</v>
      </c>
      <c r="V4" s="213">
        <f>'P&amp;L'!V22</f>
        <v>21401</v>
      </c>
      <c r="W4" s="213">
        <f>'P&amp;L'!W22</f>
        <v>12537</v>
      </c>
      <c r="X4" s="213">
        <f>'P&amp;L'!X22</f>
        <v>20557</v>
      </c>
      <c r="Y4" s="213">
        <f>'P&amp;L'!Y22</f>
        <v>41474</v>
      </c>
      <c r="Z4" s="215">
        <f>'P&amp;L'!Z22</f>
        <v>95969</v>
      </c>
      <c r="AA4" s="213">
        <f>'P&amp;L'!AA22</f>
        <v>16428</v>
      </c>
      <c r="AB4" s="213">
        <f>'P&amp;L'!AB22</f>
        <v>6150</v>
      </c>
      <c r="AC4" s="213">
        <f>'P&amp;L'!AC22</f>
        <v>5293</v>
      </c>
      <c r="AD4" s="213">
        <f>'P&amp;L'!AD22</f>
        <v>46818</v>
      </c>
      <c r="AE4" s="215">
        <f>'P&amp;L'!AE22</f>
        <v>74689</v>
      </c>
      <c r="AF4" s="213">
        <f>'P&amp;L'!AF22</f>
        <v>23450</v>
      </c>
      <c r="AG4" s="213">
        <f>'P&amp;L'!AG22</f>
        <v>15029</v>
      </c>
      <c r="AH4" s="213">
        <f>'P&amp;L'!AH22</f>
        <v>24230</v>
      </c>
      <c r="AI4" s="213">
        <f>'P&amp;L'!AI22</f>
        <v>74938</v>
      </c>
      <c r="AJ4" s="215">
        <f>'P&amp;L'!AJ22</f>
        <v>137647</v>
      </c>
      <c r="AK4" s="213">
        <f>'P&amp;L'!AK22</f>
        <v>21278</v>
      </c>
      <c r="AL4" s="213">
        <f>'P&amp;L'!AL22</f>
        <v>-32973</v>
      </c>
      <c r="AM4" s="213">
        <f>'P&amp;L'!AM22</f>
        <v>6521</v>
      </c>
      <c r="AN4" s="213">
        <f>'P&amp;L'!AN22</f>
        <v>16049</v>
      </c>
      <c r="AO4" s="215">
        <f>'P&amp;L'!AO22</f>
        <v>10875</v>
      </c>
    </row>
    <row r="5" spans="1:42" ht="15" customHeight="1" x14ac:dyDescent="0.25">
      <c r="A5" s="151" t="s">
        <v>203</v>
      </c>
      <c r="B5" s="216"/>
      <c r="C5" s="216"/>
      <c r="D5" s="216"/>
      <c r="E5" s="216"/>
      <c r="F5" s="217"/>
      <c r="G5" s="216"/>
      <c r="H5" s="216"/>
      <c r="I5" s="216"/>
      <c r="J5" s="216"/>
      <c r="K5" s="217"/>
      <c r="L5" s="216"/>
      <c r="M5" s="216"/>
      <c r="N5" s="216"/>
      <c r="O5" s="216"/>
      <c r="P5" s="218"/>
      <c r="Q5" s="216"/>
      <c r="R5" s="216"/>
      <c r="S5" s="216"/>
      <c r="T5" s="216"/>
      <c r="U5" s="218"/>
      <c r="V5" s="216"/>
      <c r="W5" s="216"/>
      <c r="X5" s="216"/>
      <c r="Y5" s="216"/>
      <c r="Z5" s="218"/>
      <c r="AA5" s="216"/>
      <c r="AB5" s="216"/>
      <c r="AC5" s="216"/>
      <c r="AD5" s="216"/>
      <c r="AE5" s="218"/>
      <c r="AF5" s="216"/>
      <c r="AG5" s="216"/>
      <c r="AH5" s="216"/>
      <c r="AI5" s="216"/>
      <c r="AJ5" s="218"/>
      <c r="AK5" s="216"/>
      <c r="AL5" s="216"/>
      <c r="AM5" s="216"/>
      <c r="AN5" s="216"/>
      <c r="AO5" s="218"/>
    </row>
    <row r="6" spans="1:42" ht="15" customHeight="1" x14ac:dyDescent="0.25">
      <c r="A6" s="151" t="s">
        <v>204</v>
      </c>
      <c r="B6" s="219">
        <f>-'P&amp;L'!B19</f>
        <v>-3920</v>
      </c>
      <c r="C6" s="219">
        <f>-'P&amp;L'!C19</f>
        <v>2546</v>
      </c>
      <c r="D6" s="219">
        <f>-'P&amp;L'!D19</f>
        <v>6650</v>
      </c>
      <c r="E6" s="219">
        <f>-'P&amp;L'!E19</f>
        <v>-735</v>
      </c>
      <c r="F6" s="220">
        <f>-'P&amp;L'!F19</f>
        <v>4541</v>
      </c>
      <c r="G6" s="219">
        <f>-'P&amp;L'!G19</f>
        <v>1317</v>
      </c>
      <c r="H6" s="219">
        <f>-'P&amp;L'!H19</f>
        <v>94</v>
      </c>
      <c r="I6" s="219">
        <f>-'P&amp;L'!I19</f>
        <v>570</v>
      </c>
      <c r="J6" s="219">
        <f>-'P&amp;L'!J19</f>
        <v>-1435</v>
      </c>
      <c r="K6" s="220">
        <f>-'P&amp;L'!K19</f>
        <v>546</v>
      </c>
      <c r="L6" s="219">
        <f>-'P&amp;L'!L19</f>
        <v>2333</v>
      </c>
      <c r="M6" s="219">
        <f>-'P&amp;L'!M19</f>
        <v>2094</v>
      </c>
      <c r="N6" s="219">
        <f>-'P&amp;L'!N19</f>
        <v>2886</v>
      </c>
      <c r="O6" s="219">
        <f>-'P&amp;L'!O19</f>
        <v>2221</v>
      </c>
      <c r="P6" s="221">
        <f>-'P&amp;L'!P19</f>
        <v>9534</v>
      </c>
      <c r="Q6" s="219">
        <f>-'P&amp;L'!Q19</f>
        <v>1325</v>
      </c>
      <c r="R6" s="219">
        <f>-'P&amp;L'!R19</f>
        <v>1006</v>
      </c>
      <c r="S6" s="219">
        <f>-'P&amp;L'!S19</f>
        <v>1007</v>
      </c>
      <c r="T6" s="219">
        <f>-'P&amp;L'!T19</f>
        <v>1746</v>
      </c>
      <c r="U6" s="221">
        <f>-'P&amp;L'!U19</f>
        <v>5084</v>
      </c>
      <c r="V6" s="219">
        <f>-'P&amp;L'!V19</f>
        <v>1974</v>
      </c>
      <c r="W6" s="219">
        <f>-'P&amp;L'!W19</f>
        <v>1354</v>
      </c>
      <c r="X6" s="219">
        <f>-'P&amp;L'!X19</f>
        <v>900</v>
      </c>
      <c r="Y6" s="219">
        <f>-'P&amp;L'!Y19</f>
        <v>1521</v>
      </c>
      <c r="Z6" s="221">
        <f>-'P&amp;L'!Z19</f>
        <v>5749</v>
      </c>
      <c r="AA6" s="219">
        <f>-'P&amp;L'!AA19</f>
        <v>334</v>
      </c>
      <c r="AB6" s="219">
        <f>-'P&amp;L'!AB19</f>
        <v>1003</v>
      </c>
      <c r="AC6" s="219">
        <f>-'P&amp;L'!AC19</f>
        <v>491</v>
      </c>
      <c r="AD6" s="219">
        <f>-'P&amp;L'!AD19</f>
        <v>111</v>
      </c>
      <c r="AE6" s="221">
        <f>-'P&amp;L'!AE19</f>
        <v>1939</v>
      </c>
      <c r="AF6" s="219">
        <f>-'P&amp;L'!AF19</f>
        <v>718</v>
      </c>
      <c r="AG6" s="219">
        <f>-'P&amp;L'!AG19</f>
        <v>519</v>
      </c>
      <c r="AH6" s="219">
        <f>-'P&amp;L'!AH19</f>
        <v>154</v>
      </c>
      <c r="AI6" s="219">
        <v>-347</v>
      </c>
      <c r="AJ6" s="221">
        <v>1044</v>
      </c>
      <c r="AK6" s="219">
        <f>-'P&amp;L'!AK19</f>
        <v>-4030</v>
      </c>
      <c r="AL6" s="219">
        <f>-'P&amp;L'!AL19+488</f>
        <v>-15924</v>
      </c>
      <c r="AM6" s="219">
        <f>-'P&amp;L'!AM19-41</f>
        <v>-3526</v>
      </c>
      <c r="AN6" s="219">
        <v>6427</v>
      </c>
      <c r="AO6" s="221">
        <v>-17053</v>
      </c>
      <c r="AP6" s="222"/>
    </row>
    <row r="7" spans="1:42" ht="15" customHeight="1" x14ac:dyDescent="0.25">
      <c r="A7" s="151" t="s">
        <v>113</v>
      </c>
      <c r="B7" s="219">
        <f>-'P&amp;L'!B21</f>
        <v>7143</v>
      </c>
      <c r="C7" s="219">
        <f>-'P&amp;L'!C21</f>
        <v>1365</v>
      </c>
      <c r="D7" s="219">
        <f>-'P&amp;L'!D21</f>
        <v>5388</v>
      </c>
      <c r="E7" s="219">
        <f>-'P&amp;L'!E21</f>
        <v>-4378</v>
      </c>
      <c r="F7" s="220">
        <f>-'P&amp;L'!F21</f>
        <v>9517</v>
      </c>
      <c r="G7" s="219">
        <f>-'P&amp;L'!G21</f>
        <v>7944</v>
      </c>
      <c r="H7" s="219">
        <f>-'P&amp;L'!H21</f>
        <v>4450</v>
      </c>
      <c r="I7" s="219">
        <f>-'P&amp;L'!I21</f>
        <v>7574</v>
      </c>
      <c r="J7" s="219">
        <f>-'P&amp;L'!J21</f>
        <v>13161</v>
      </c>
      <c r="K7" s="220">
        <f>-'P&amp;L'!K21</f>
        <v>33129</v>
      </c>
      <c r="L7" s="219">
        <f>-'P&amp;L'!L21</f>
        <v>4201</v>
      </c>
      <c r="M7" s="219">
        <f>-'P&amp;L'!M21</f>
        <v>3665</v>
      </c>
      <c r="N7" s="219">
        <f>-'P&amp;L'!N21</f>
        <v>7858</v>
      </c>
      <c r="O7" s="219">
        <f>-'P&amp;L'!O21</f>
        <v>15927</v>
      </c>
      <c r="P7" s="221">
        <f>-'P&amp;L'!P21</f>
        <v>31651</v>
      </c>
      <c r="Q7" s="219">
        <f>-'P&amp;L'!Q21</f>
        <v>12386</v>
      </c>
      <c r="R7" s="219">
        <f>-'P&amp;L'!R21</f>
        <v>8638</v>
      </c>
      <c r="S7" s="219">
        <f>-'P&amp;L'!S21</f>
        <v>6821</v>
      </c>
      <c r="T7" s="219">
        <f>-'P&amp;L'!T21</f>
        <v>18299</v>
      </c>
      <c r="U7" s="221">
        <f>-'P&amp;L'!U21</f>
        <v>46144</v>
      </c>
      <c r="V7" s="219">
        <f>-'P&amp;L'!V21</f>
        <v>10018</v>
      </c>
      <c r="W7" s="219">
        <f>-'P&amp;L'!W21</f>
        <v>5683</v>
      </c>
      <c r="X7" s="219">
        <f>-'P&amp;L'!X21</f>
        <v>7913</v>
      </c>
      <c r="Y7" s="219">
        <f>-'P&amp;L'!Y21</f>
        <v>15882</v>
      </c>
      <c r="Z7" s="221">
        <f>-'P&amp;L'!Z21</f>
        <v>39496</v>
      </c>
      <c r="AA7" s="219">
        <f>-'P&amp;L'!AA21</f>
        <v>7040</v>
      </c>
      <c r="AB7" s="219">
        <f>-'P&amp;L'!AB21</f>
        <v>2636</v>
      </c>
      <c r="AC7" s="219">
        <f>-'P&amp;L'!AC21</f>
        <v>2267</v>
      </c>
      <c r="AD7" s="219">
        <f>-'P&amp;L'!AD21</f>
        <v>20254</v>
      </c>
      <c r="AE7" s="221">
        <f>-'P&amp;L'!AE21</f>
        <v>32197</v>
      </c>
      <c r="AF7" s="219">
        <f>-'P&amp;L'!AF21</f>
        <v>10051</v>
      </c>
      <c r="AG7" s="219">
        <f>-'P&amp;L'!AG21</f>
        <v>4181</v>
      </c>
      <c r="AH7" s="219">
        <f>-'P&amp;L'!AH21</f>
        <v>7801</v>
      </c>
      <c r="AI7" s="219">
        <f>-'P&amp;L'!AI21</f>
        <v>-5864</v>
      </c>
      <c r="AJ7" s="221">
        <f>-'P&amp;L'!AJ21</f>
        <v>16169</v>
      </c>
      <c r="AK7" s="219">
        <f>-'P&amp;L'!AK21</f>
        <v>10414</v>
      </c>
      <c r="AL7" s="219">
        <f>-'P&amp;L'!AL21</f>
        <v>-7121</v>
      </c>
      <c r="AM7" s="219">
        <f>-'P&amp;L'!AM21</f>
        <v>1442</v>
      </c>
      <c r="AN7" s="219">
        <f>-'P&amp;L'!AN21</f>
        <v>26451</v>
      </c>
      <c r="AO7" s="221">
        <f>-'P&amp;L'!AO21</f>
        <v>31186</v>
      </c>
    </row>
    <row r="8" spans="1:42" ht="15" customHeight="1" x14ac:dyDescent="0.25">
      <c r="A8" s="151" t="s">
        <v>187</v>
      </c>
      <c r="B8" s="223">
        <f t="shared" ref="B8:F8" si="0">SUM(B9:B11)</f>
        <v>6317</v>
      </c>
      <c r="C8" s="223">
        <f t="shared" si="0"/>
        <v>5325</v>
      </c>
      <c r="D8" s="223">
        <f t="shared" si="0"/>
        <v>4600</v>
      </c>
      <c r="E8" s="223">
        <f t="shared" si="0"/>
        <v>7748</v>
      </c>
      <c r="F8" s="224">
        <f t="shared" si="0"/>
        <v>23989</v>
      </c>
      <c r="G8" s="223">
        <f>SUM(G9:G11)</f>
        <v>8370</v>
      </c>
      <c r="H8" s="223">
        <f>SUM(H9:H11)</f>
        <v>7695</v>
      </c>
      <c r="I8" s="223">
        <f>SUM(I9:I11)</f>
        <v>13965</v>
      </c>
      <c r="J8" s="223">
        <f t="shared" ref="J8:K8" si="1">SUM(J9:J11)</f>
        <v>13229</v>
      </c>
      <c r="K8" s="224">
        <f t="shared" si="1"/>
        <v>43259</v>
      </c>
      <c r="L8" s="223">
        <f>SUM(L9:L11)</f>
        <v>14940</v>
      </c>
      <c r="M8" s="223">
        <f t="shared" ref="M8:P8" si="2">SUM(M9:M11)</f>
        <v>14918</v>
      </c>
      <c r="N8" s="223">
        <f>SUM(N9:N11)</f>
        <v>22028</v>
      </c>
      <c r="O8" s="223">
        <f t="shared" si="2"/>
        <v>20464</v>
      </c>
      <c r="P8" s="225">
        <f t="shared" si="2"/>
        <v>72351</v>
      </c>
      <c r="Q8" s="223">
        <f>SUM(Q9:Q11)</f>
        <v>19303</v>
      </c>
      <c r="R8" s="223">
        <f>SUM(R9:R11)</f>
        <v>20245</v>
      </c>
      <c r="S8" s="223">
        <f>SUM(S9:S11)</f>
        <v>17261</v>
      </c>
      <c r="T8" s="223">
        <f t="shared" ref="T8:U8" si="3">SUM(T9:T11)</f>
        <v>10267</v>
      </c>
      <c r="U8" s="225">
        <f t="shared" si="3"/>
        <v>67076</v>
      </c>
      <c r="V8" s="223">
        <f>SUM(V9:V11)</f>
        <v>13882</v>
      </c>
      <c r="W8" s="223">
        <f>SUM(W9:W11)</f>
        <v>14391</v>
      </c>
      <c r="X8" s="223">
        <f>SUM(X9:X11)</f>
        <v>11770</v>
      </c>
      <c r="Y8" s="223">
        <f t="shared" ref="Y8:Z8" si="4">SUM(Y9:Y11)</f>
        <v>9089</v>
      </c>
      <c r="Z8" s="225">
        <f t="shared" si="4"/>
        <v>49132</v>
      </c>
      <c r="AA8" s="223">
        <f>SUM(AA9:AA11)</f>
        <v>8503</v>
      </c>
      <c r="AB8" s="223">
        <f>SUM(AB9:AB11)</f>
        <v>7159</v>
      </c>
      <c r="AC8" s="223">
        <f>SUM(AC9:AC11)</f>
        <v>6803</v>
      </c>
      <c r="AD8" s="223">
        <f t="shared" ref="AD8:AE8" si="5">SUM(AD9:AD11)</f>
        <v>8960</v>
      </c>
      <c r="AE8" s="225">
        <f t="shared" si="5"/>
        <v>31425</v>
      </c>
      <c r="AF8" s="223">
        <f>SUM(AF9:AF11)</f>
        <v>7882</v>
      </c>
      <c r="AG8" s="223">
        <f>SUM(AG9:AG11)</f>
        <v>11669</v>
      </c>
      <c r="AH8" s="223">
        <f>SUM(AH9:AH11)</f>
        <v>13290</v>
      </c>
      <c r="AI8" s="223">
        <f t="shared" ref="AI8:AJ8" si="6">SUM(AI9:AI11)</f>
        <v>12114</v>
      </c>
      <c r="AJ8" s="225">
        <f t="shared" si="6"/>
        <v>44955</v>
      </c>
      <c r="AK8" s="223">
        <f>SUM(AK9:AK11)</f>
        <v>9490</v>
      </c>
      <c r="AL8" s="223">
        <f>SUM(AL9:AL11)</f>
        <v>12020</v>
      </c>
      <c r="AM8" s="223">
        <f>SUM(AM9:AM11)</f>
        <v>21084</v>
      </c>
      <c r="AN8" s="223">
        <f t="shared" ref="AN8:AO8" si="7">SUM(AN9:AN11)</f>
        <v>22441</v>
      </c>
      <c r="AO8" s="225">
        <f t="shared" si="7"/>
        <v>65035</v>
      </c>
    </row>
    <row r="9" spans="1:42" ht="15" customHeight="1" x14ac:dyDescent="0.25">
      <c r="A9" s="226" t="s">
        <v>205</v>
      </c>
      <c r="B9" s="227">
        <v>1478</v>
      </c>
      <c r="C9" s="227">
        <v>1162</v>
      </c>
      <c r="D9" s="227">
        <v>1714</v>
      </c>
      <c r="E9" s="227">
        <v>2167</v>
      </c>
      <c r="F9" s="228">
        <v>6520</v>
      </c>
      <c r="G9" s="227">
        <v>2402</v>
      </c>
      <c r="H9" s="227">
        <v>2179</v>
      </c>
      <c r="I9" s="227">
        <v>4667</v>
      </c>
      <c r="J9" s="227">
        <v>2860</v>
      </c>
      <c r="K9" s="228">
        <v>12108</v>
      </c>
      <c r="L9" s="227">
        <v>3916</v>
      </c>
      <c r="M9" s="227">
        <v>4461</v>
      </c>
      <c r="N9" s="227">
        <v>6361</v>
      </c>
      <c r="O9" s="227">
        <v>6355</v>
      </c>
      <c r="P9" s="229">
        <v>21093</v>
      </c>
      <c r="Q9" s="227">
        <v>4555</v>
      </c>
      <c r="R9" s="227">
        <v>6771</v>
      </c>
      <c r="S9" s="227">
        <v>4901</v>
      </c>
      <c r="T9" s="227">
        <v>5005</v>
      </c>
      <c r="U9" s="229">
        <v>21232</v>
      </c>
      <c r="V9" s="227">
        <v>4025</v>
      </c>
      <c r="W9" s="227">
        <v>4203</v>
      </c>
      <c r="X9" s="227">
        <v>3230</v>
      </c>
      <c r="Y9" s="227">
        <v>3578</v>
      </c>
      <c r="Z9" s="229">
        <v>15036</v>
      </c>
      <c r="AA9" s="227">
        <v>2370</v>
      </c>
      <c r="AB9" s="227">
        <v>2068</v>
      </c>
      <c r="AC9" s="227">
        <v>3333</v>
      </c>
      <c r="AD9" s="227">
        <v>2482</v>
      </c>
      <c r="AE9" s="229">
        <v>10253</v>
      </c>
      <c r="AF9" s="227">
        <v>2496</v>
      </c>
      <c r="AG9" s="227">
        <v>4218</v>
      </c>
      <c r="AH9" s="227">
        <v>4858</v>
      </c>
      <c r="AI9" s="227">
        <v>4762</v>
      </c>
      <c r="AJ9" s="229">
        <v>16334</v>
      </c>
      <c r="AK9" s="227">
        <v>3967</v>
      </c>
      <c r="AL9" s="227">
        <v>5578</v>
      </c>
      <c r="AM9" s="227">
        <v>11621</v>
      </c>
      <c r="AN9" s="227">
        <v>15348</v>
      </c>
      <c r="AO9" s="229">
        <v>36514</v>
      </c>
    </row>
    <row r="10" spans="1:42" ht="15" customHeight="1" x14ac:dyDescent="0.25">
      <c r="A10" s="226" t="s">
        <v>206</v>
      </c>
      <c r="B10" s="197">
        <v>3454</v>
      </c>
      <c r="C10" s="197">
        <v>2903</v>
      </c>
      <c r="D10" s="197">
        <v>1715</v>
      </c>
      <c r="E10" s="197">
        <v>3606</v>
      </c>
      <c r="F10" s="198">
        <v>11678</v>
      </c>
      <c r="G10" s="197">
        <v>3390</v>
      </c>
      <c r="H10" s="197">
        <v>2488</v>
      </c>
      <c r="I10" s="197">
        <v>5143</v>
      </c>
      <c r="J10" s="197">
        <v>5816</v>
      </c>
      <c r="K10" s="198">
        <v>16838</v>
      </c>
      <c r="L10" s="197">
        <v>6710</v>
      </c>
      <c r="M10" s="197">
        <v>6401</v>
      </c>
      <c r="N10" s="197">
        <v>9897</v>
      </c>
      <c r="O10" s="197">
        <v>8377</v>
      </c>
      <c r="P10" s="199">
        <v>31386</v>
      </c>
      <c r="Q10" s="197">
        <v>7832</v>
      </c>
      <c r="R10" s="197">
        <v>8668</v>
      </c>
      <c r="S10" s="197">
        <v>6952</v>
      </c>
      <c r="T10" s="197">
        <v>5793</v>
      </c>
      <c r="U10" s="199">
        <v>29244</v>
      </c>
      <c r="V10" s="197">
        <v>6201</v>
      </c>
      <c r="W10" s="197">
        <v>5693</v>
      </c>
      <c r="X10" s="197">
        <v>4398</v>
      </c>
      <c r="Y10" s="197">
        <v>3009</v>
      </c>
      <c r="Z10" s="199">
        <v>19301</v>
      </c>
      <c r="AA10" s="197">
        <v>3618</v>
      </c>
      <c r="AB10" s="197">
        <v>1572</v>
      </c>
      <c r="AC10" s="197">
        <v>3190</v>
      </c>
      <c r="AD10" s="197">
        <v>3662</v>
      </c>
      <c r="AE10" s="199">
        <v>12042</v>
      </c>
      <c r="AF10" s="197">
        <v>2369</v>
      </c>
      <c r="AG10" s="197">
        <v>3636</v>
      </c>
      <c r="AH10" s="197">
        <v>3875</v>
      </c>
      <c r="AI10" s="197">
        <v>3143</v>
      </c>
      <c r="AJ10" s="199">
        <v>13023</v>
      </c>
      <c r="AK10" s="197">
        <v>2568</v>
      </c>
      <c r="AL10" s="197">
        <v>2550</v>
      </c>
      <c r="AM10" s="197">
        <v>4577</v>
      </c>
      <c r="AN10" s="197">
        <v>4505</v>
      </c>
      <c r="AO10" s="199">
        <v>14200</v>
      </c>
    </row>
    <row r="11" spans="1:42" ht="15" customHeight="1" x14ac:dyDescent="0.25">
      <c r="A11" s="226" t="s">
        <v>207</v>
      </c>
      <c r="B11" s="231">
        <v>1385</v>
      </c>
      <c r="C11" s="231">
        <v>1260</v>
      </c>
      <c r="D11" s="231">
        <v>1171</v>
      </c>
      <c r="E11" s="231">
        <v>1975</v>
      </c>
      <c r="F11" s="232">
        <v>5791</v>
      </c>
      <c r="G11" s="231">
        <v>2578</v>
      </c>
      <c r="H11" s="231">
        <v>3028</v>
      </c>
      <c r="I11" s="231">
        <v>4155</v>
      </c>
      <c r="J11" s="231">
        <v>4553</v>
      </c>
      <c r="K11" s="232">
        <v>14313</v>
      </c>
      <c r="L11" s="231">
        <v>4314</v>
      </c>
      <c r="M11" s="231">
        <v>4056</v>
      </c>
      <c r="N11" s="231">
        <v>5770</v>
      </c>
      <c r="O11" s="231">
        <v>5732</v>
      </c>
      <c r="P11" s="233">
        <v>19872</v>
      </c>
      <c r="Q11" s="231">
        <v>6916</v>
      </c>
      <c r="R11" s="231">
        <v>4806</v>
      </c>
      <c r="S11" s="231">
        <v>5408</v>
      </c>
      <c r="T11" s="231">
        <v>-531</v>
      </c>
      <c r="U11" s="233">
        <v>16600</v>
      </c>
      <c r="V11" s="231">
        <v>3656</v>
      </c>
      <c r="W11" s="231">
        <v>4495</v>
      </c>
      <c r="X11" s="231">
        <v>4142</v>
      </c>
      <c r="Y11" s="231">
        <v>2502</v>
      </c>
      <c r="Z11" s="233">
        <v>14795</v>
      </c>
      <c r="AA11" s="231">
        <v>2515</v>
      </c>
      <c r="AB11" s="231">
        <v>3519</v>
      </c>
      <c r="AC11" s="231">
        <v>280</v>
      </c>
      <c r="AD11" s="231">
        <v>2816</v>
      </c>
      <c r="AE11" s="233">
        <v>9130</v>
      </c>
      <c r="AF11" s="231">
        <v>3017</v>
      </c>
      <c r="AG11" s="231">
        <v>3815</v>
      </c>
      <c r="AH11" s="231">
        <v>4557</v>
      </c>
      <c r="AI11" s="231">
        <v>4209</v>
      </c>
      <c r="AJ11" s="233">
        <v>15598</v>
      </c>
      <c r="AK11" s="231">
        <v>2955</v>
      </c>
      <c r="AL11" s="231">
        <v>3892</v>
      </c>
      <c r="AM11" s="231">
        <v>4886</v>
      </c>
      <c r="AN11" s="231">
        <v>2588</v>
      </c>
      <c r="AO11" s="233">
        <v>14321</v>
      </c>
    </row>
    <row r="12" spans="1:42" ht="15" customHeight="1" x14ac:dyDescent="0.25">
      <c r="A12" s="151" t="s">
        <v>189</v>
      </c>
      <c r="B12" s="223">
        <f t="shared" ref="B12:F12" si="8">SUM(B13:B15)</f>
        <v>112</v>
      </c>
      <c r="C12" s="223">
        <f t="shared" si="8"/>
        <v>110</v>
      </c>
      <c r="D12" s="223">
        <f t="shared" si="8"/>
        <v>110</v>
      </c>
      <c r="E12" s="223">
        <f t="shared" si="8"/>
        <v>109</v>
      </c>
      <c r="F12" s="224">
        <f t="shared" si="8"/>
        <v>441</v>
      </c>
      <c r="G12" s="223">
        <f>SUM(G13:G15)</f>
        <v>129</v>
      </c>
      <c r="H12" s="223">
        <f>SUM(H13:H15)</f>
        <v>131</v>
      </c>
      <c r="I12" s="223">
        <f>SUM(I13:I15)</f>
        <v>132</v>
      </c>
      <c r="J12" s="223">
        <f t="shared" ref="J12:K12" si="9">SUM(J13:J15)</f>
        <v>133</v>
      </c>
      <c r="K12" s="224">
        <f t="shared" si="9"/>
        <v>524</v>
      </c>
      <c r="L12" s="223">
        <f>SUM(L13:L15)</f>
        <v>290</v>
      </c>
      <c r="M12" s="223">
        <f t="shared" ref="M12:Z12" si="10">SUM(M13:M15)</f>
        <v>299</v>
      </c>
      <c r="N12" s="223">
        <f>SUM(N13:N15)</f>
        <v>320</v>
      </c>
      <c r="O12" s="223">
        <f t="shared" si="10"/>
        <v>321</v>
      </c>
      <c r="P12" s="225">
        <f t="shared" si="10"/>
        <v>1231</v>
      </c>
      <c r="Q12" s="223">
        <f t="shared" si="10"/>
        <v>434</v>
      </c>
      <c r="R12" s="223">
        <f t="shared" si="10"/>
        <v>419</v>
      </c>
      <c r="S12" s="223">
        <f t="shared" si="10"/>
        <v>419</v>
      </c>
      <c r="T12" s="223">
        <f t="shared" si="10"/>
        <v>419</v>
      </c>
      <c r="U12" s="225">
        <f t="shared" si="10"/>
        <v>1691</v>
      </c>
      <c r="V12" s="223">
        <f t="shared" si="10"/>
        <v>394</v>
      </c>
      <c r="W12" s="223">
        <f t="shared" si="10"/>
        <v>391</v>
      </c>
      <c r="X12" s="223">
        <f t="shared" si="10"/>
        <v>388</v>
      </c>
      <c r="Y12" s="223">
        <f t="shared" si="10"/>
        <v>383</v>
      </c>
      <c r="Z12" s="225">
        <f t="shared" si="10"/>
        <v>1556</v>
      </c>
      <c r="AA12" s="223">
        <f t="shared" ref="AA12:AE12" si="11">SUM(AA13:AA15)</f>
        <v>538</v>
      </c>
      <c r="AB12" s="223">
        <f t="shared" si="11"/>
        <v>539</v>
      </c>
      <c r="AC12" s="223">
        <f t="shared" si="11"/>
        <v>572</v>
      </c>
      <c r="AD12" s="223">
        <f t="shared" si="11"/>
        <v>583</v>
      </c>
      <c r="AE12" s="225">
        <f t="shared" si="11"/>
        <v>2232</v>
      </c>
      <c r="AF12" s="223">
        <f t="shared" ref="AF12:AG12" si="12">SUM(AF13:AF15)</f>
        <v>338</v>
      </c>
      <c r="AG12" s="223">
        <f t="shared" si="12"/>
        <v>337</v>
      </c>
      <c r="AH12" s="223">
        <f>SUM(AH13:AH15)</f>
        <v>330</v>
      </c>
      <c r="AI12" s="223">
        <f t="shared" ref="AI12:AJ12" si="13">SUM(AI13:AI15)</f>
        <v>319</v>
      </c>
      <c r="AJ12" s="225">
        <f t="shared" si="13"/>
        <v>1324</v>
      </c>
      <c r="AK12" s="223">
        <f>SUM(AK13:AK15)</f>
        <v>275</v>
      </c>
      <c r="AL12" s="223">
        <f t="shared" ref="AL12" si="14">SUM(AL13:AL15)</f>
        <v>264</v>
      </c>
      <c r="AM12" s="223">
        <f>SUM(AM13:AM15)</f>
        <v>247</v>
      </c>
      <c r="AN12" s="223">
        <f t="shared" ref="AN12:AO12" si="15">SUM(AN13:AN15)</f>
        <v>970</v>
      </c>
      <c r="AO12" s="225">
        <f t="shared" si="15"/>
        <v>1756</v>
      </c>
    </row>
    <row r="13" spans="1:42" ht="15" customHeight="1" x14ac:dyDescent="0.25">
      <c r="A13" s="226" t="s">
        <v>205</v>
      </c>
      <c r="B13" s="234">
        <v>42</v>
      </c>
      <c r="C13" s="234">
        <v>40</v>
      </c>
      <c r="D13" s="234">
        <v>41</v>
      </c>
      <c r="E13" s="234">
        <v>40</v>
      </c>
      <c r="F13" s="235">
        <v>163</v>
      </c>
      <c r="G13" s="234">
        <v>52</v>
      </c>
      <c r="H13" s="234">
        <v>53</v>
      </c>
      <c r="I13" s="234">
        <v>55</v>
      </c>
      <c r="J13" s="234">
        <v>52</v>
      </c>
      <c r="K13" s="235">
        <v>211</v>
      </c>
      <c r="L13" s="234">
        <v>146</v>
      </c>
      <c r="M13" s="234">
        <v>151</v>
      </c>
      <c r="N13" s="234">
        <v>161</v>
      </c>
      <c r="O13" s="234">
        <v>162</v>
      </c>
      <c r="P13" s="236">
        <v>621</v>
      </c>
      <c r="Q13" s="234">
        <v>220</v>
      </c>
      <c r="R13" s="234">
        <v>212</v>
      </c>
      <c r="S13" s="234">
        <v>208</v>
      </c>
      <c r="T13" s="234">
        <v>204</v>
      </c>
      <c r="U13" s="236">
        <v>844</v>
      </c>
      <c r="V13" s="234">
        <v>193</v>
      </c>
      <c r="W13" s="234">
        <v>191</v>
      </c>
      <c r="X13" s="234">
        <v>188</v>
      </c>
      <c r="Y13" s="234">
        <v>188</v>
      </c>
      <c r="Z13" s="236">
        <v>760</v>
      </c>
      <c r="AA13" s="234">
        <v>269</v>
      </c>
      <c r="AB13" s="234">
        <v>269</v>
      </c>
      <c r="AC13" s="234">
        <v>286</v>
      </c>
      <c r="AD13" s="234">
        <v>290</v>
      </c>
      <c r="AE13" s="236">
        <v>1114</v>
      </c>
      <c r="AF13" s="234">
        <v>175</v>
      </c>
      <c r="AG13" s="234">
        <v>175</v>
      </c>
      <c r="AH13" s="234">
        <v>170</v>
      </c>
      <c r="AI13" s="234">
        <v>166</v>
      </c>
      <c r="AJ13" s="236">
        <v>686</v>
      </c>
      <c r="AK13" s="234">
        <v>142</v>
      </c>
      <c r="AL13" s="234">
        <v>136</v>
      </c>
      <c r="AM13" s="234">
        <v>130</v>
      </c>
      <c r="AN13" s="234">
        <v>483</v>
      </c>
      <c r="AO13" s="236">
        <v>891</v>
      </c>
    </row>
    <row r="14" spans="1:42" ht="15" customHeight="1" x14ac:dyDescent="0.25">
      <c r="A14" s="226" t="s">
        <v>206</v>
      </c>
      <c r="B14" s="197">
        <v>39</v>
      </c>
      <c r="C14" s="197">
        <v>39</v>
      </c>
      <c r="D14" s="197">
        <v>37</v>
      </c>
      <c r="E14" s="197">
        <v>38</v>
      </c>
      <c r="F14" s="198">
        <v>153</v>
      </c>
      <c r="G14" s="197">
        <v>34</v>
      </c>
      <c r="H14" s="197">
        <v>35</v>
      </c>
      <c r="I14" s="197">
        <v>38</v>
      </c>
      <c r="J14" s="197">
        <v>37</v>
      </c>
      <c r="K14" s="198">
        <v>144</v>
      </c>
      <c r="L14" s="197">
        <v>59</v>
      </c>
      <c r="M14" s="197">
        <v>60</v>
      </c>
      <c r="N14" s="197">
        <v>65</v>
      </c>
      <c r="O14" s="197">
        <v>63</v>
      </c>
      <c r="P14" s="199">
        <v>247</v>
      </c>
      <c r="Q14" s="197">
        <v>79</v>
      </c>
      <c r="R14" s="197">
        <v>75</v>
      </c>
      <c r="S14" s="197">
        <v>83</v>
      </c>
      <c r="T14" s="197">
        <v>88</v>
      </c>
      <c r="U14" s="199">
        <v>325</v>
      </c>
      <c r="V14" s="197">
        <v>72</v>
      </c>
      <c r="W14" s="197">
        <v>71</v>
      </c>
      <c r="X14" s="197">
        <v>71</v>
      </c>
      <c r="Y14" s="197">
        <v>69</v>
      </c>
      <c r="Z14" s="199">
        <v>283</v>
      </c>
      <c r="AA14" s="197">
        <v>95</v>
      </c>
      <c r="AB14" s="197">
        <v>95</v>
      </c>
      <c r="AC14" s="197">
        <v>101</v>
      </c>
      <c r="AD14" s="197">
        <v>103</v>
      </c>
      <c r="AE14" s="199">
        <v>394</v>
      </c>
      <c r="AF14" s="197">
        <v>53</v>
      </c>
      <c r="AG14" s="197">
        <v>53</v>
      </c>
      <c r="AH14" s="197">
        <v>52</v>
      </c>
      <c r="AI14" s="197">
        <v>49</v>
      </c>
      <c r="AJ14" s="199">
        <v>207</v>
      </c>
      <c r="AK14" s="197">
        <v>40</v>
      </c>
      <c r="AL14" s="197">
        <v>39</v>
      </c>
      <c r="AM14" s="197">
        <v>40</v>
      </c>
      <c r="AN14" s="197">
        <v>220</v>
      </c>
      <c r="AO14" s="199">
        <v>339</v>
      </c>
    </row>
    <row r="15" spans="1:42" ht="15" customHeight="1" x14ac:dyDescent="0.25">
      <c r="A15" s="226" t="s">
        <v>207</v>
      </c>
      <c r="B15" s="231">
        <v>31</v>
      </c>
      <c r="C15" s="231">
        <v>31</v>
      </c>
      <c r="D15" s="231">
        <v>32</v>
      </c>
      <c r="E15" s="231">
        <v>31</v>
      </c>
      <c r="F15" s="232">
        <v>125</v>
      </c>
      <c r="G15" s="231">
        <v>43</v>
      </c>
      <c r="H15" s="231">
        <v>43</v>
      </c>
      <c r="I15" s="231">
        <v>39</v>
      </c>
      <c r="J15" s="231">
        <v>44</v>
      </c>
      <c r="K15" s="232">
        <v>169</v>
      </c>
      <c r="L15" s="231">
        <v>85</v>
      </c>
      <c r="M15" s="231">
        <v>88</v>
      </c>
      <c r="N15" s="231">
        <v>94</v>
      </c>
      <c r="O15" s="231">
        <v>96</v>
      </c>
      <c r="P15" s="233">
        <v>363</v>
      </c>
      <c r="Q15" s="231">
        <v>135</v>
      </c>
      <c r="R15" s="231">
        <v>132</v>
      </c>
      <c r="S15" s="231">
        <v>128</v>
      </c>
      <c r="T15" s="231">
        <v>127</v>
      </c>
      <c r="U15" s="233">
        <v>522</v>
      </c>
      <c r="V15" s="231">
        <v>129</v>
      </c>
      <c r="W15" s="231">
        <v>129</v>
      </c>
      <c r="X15" s="231">
        <v>129</v>
      </c>
      <c r="Y15" s="231">
        <v>126</v>
      </c>
      <c r="Z15" s="233">
        <v>513</v>
      </c>
      <c r="AA15" s="231">
        <v>174</v>
      </c>
      <c r="AB15" s="231">
        <v>175</v>
      </c>
      <c r="AC15" s="231">
        <v>185</v>
      </c>
      <c r="AD15" s="231">
        <v>190</v>
      </c>
      <c r="AE15" s="233">
        <v>724</v>
      </c>
      <c r="AF15" s="231">
        <v>110</v>
      </c>
      <c r="AG15" s="231">
        <v>109</v>
      </c>
      <c r="AH15" s="231">
        <v>108</v>
      </c>
      <c r="AI15" s="231">
        <v>104</v>
      </c>
      <c r="AJ15" s="233">
        <v>431</v>
      </c>
      <c r="AK15" s="231">
        <v>93</v>
      </c>
      <c r="AL15" s="231">
        <v>89</v>
      </c>
      <c r="AM15" s="231">
        <v>77</v>
      </c>
      <c r="AN15" s="231">
        <v>267</v>
      </c>
      <c r="AO15" s="233">
        <v>526</v>
      </c>
    </row>
    <row r="16" spans="1:42" ht="15" customHeight="1" x14ac:dyDescent="0.25">
      <c r="A16" s="151" t="s">
        <v>208</v>
      </c>
      <c r="B16" s="223">
        <f t="shared" ref="B16:F16" si="16">SUM(B17:B20)</f>
        <v>8428</v>
      </c>
      <c r="C16" s="223">
        <f t="shared" si="16"/>
        <v>10278</v>
      </c>
      <c r="D16" s="223">
        <f t="shared" si="16"/>
        <v>11892</v>
      </c>
      <c r="E16" s="223">
        <f t="shared" si="16"/>
        <v>13967</v>
      </c>
      <c r="F16" s="224">
        <f t="shared" si="16"/>
        <v>44565</v>
      </c>
      <c r="G16" s="223">
        <f>SUM(G17:G20)</f>
        <v>12516</v>
      </c>
      <c r="H16" s="223">
        <f>SUM(H17:H20)</f>
        <v>13300</v>
      </c>
      <c r="I16" s="223">
        <f>SUM(I17:I20)</f>
        <v>14771</v>
      </c>
      <c r="J16" s="223">
        <f t="shared" ref="J16:K16" si="17">SUM(J17:J20)</f>
        <v>16190</v>
      </c>
      <c r="K16" s="224">
        <f t="shared" si="17"/>
        <v>56779</v>
      </c>
      <c r="L16" s="223">
        <f>SUM(L17:L20)</f>
        <v>20167</v>
      </c>
      <c r="M16" s="223">
        <f t="shared" ref="M16:P16" si="18">SUM(M17:M20)</f>
        <v>22306</v>
      </c>
      <c r="N16" s="223">
        <f>SUM(N17:N20)</f>
        <v>23755</v>
      </c>
      <c r="O16" s="223">
        <f t="shared" si="18"/>
        <v>24570</v>
      </c>
      <c r="P16" s="225">
        <f t="shared" si="18"/>
        <v>90796</v>
      </c>
      <c r="Q16" s="223">
        <f>SUM(Q17:Q20)</f>
        <v>23646</v>
      </c>
      <c r="R16" s="223">
        <f>SUM(R17:R20)</f>
        <v>23560</v>
      </c>
      <c r="S16" s="223">
        <f>SUM(S17:S20)</f>
        <v>25619</v>
      </c>
      <c r="T16" s="223">
        <f t="shared" ref="T16:U16" si="19">SUM(T17:T20)</f>
        <v>30675</v>
      </c>
      <c r="U16" s="225">
        <f t="shared" si="19"/>
        <v>103500</v>
      </c>
      <c r="V16" s="223">
        <f>SUM(V17:V20)</f>
        <v>19296</v>
      </c>
      <c r="W16" s="223">
        <f>SUM(W17:W20)</f>
        <v>21315</v>
      </c>
      <c r="X16" s="223">
        <f>SUM(X17:X20)</f>
        <v>22388</v>
      </c>
      <c r="Y16" s="223">
        <f t="shared" ref="Y16:Z16" si="20">SUM(Y17:Y20)</f>
        <v>30489</v>
      </c>
      <c r="Z16" s="225">
        <f t="shared" si="20"/>
        <v>93488</v>
      </c>
      <c r="AA16" s="223">
        <f>SUM(AA17:AA20)</f>
        <v>24138</v>
      </c>
      <c r="AB16" s="223">
        <f>SUM(AB17:AB20)</f>
        <v>20208</v>
      </c>
      <c r="AC16" s="223">
        <f>SUM(AC17:AC20)</f>
        <v>21752</v>
      </c>
      <c r="AD16" s="223">
        <f t="shared" ref="AD16:AE16" si="21">SUM(AD17:AD20)</f>
        <v>22140</v>
      </c>
      <c r="AE16" s="225">
        <f t="shared" si="21"/>
        <v>88238</v>
      </c>
      <c r="AF16" s="223">
        <f>SUM(AF17:AF20)</f>
        <v>21854</v>
      </c>
      <c r="AG16" s="223">
        <f>SUM(AG17:AG20)</f>
        <v>22491</v>
      </c>
      <c r="AH16" s="223">
        <f>SUM(AH17:AH20)</f>
        <v>22301</v>
      </c>
      <c r="AI16" s="223">
        <f t="shared" ref="AI16:AJ16" si="22">SUM(AI17:AI20)</f>
        <v>21756</v>
      </c>
      <c r="AJ16" s="225">
        <f t="shared" si="22"/>
        <v>88402</v>
      </c>
      <c r="AK16" s="223">
        <f>SUM(AK17:AK20)</f>
        <v>22144</v>
      </c>
      <c r="AL16" s="223">
        <f>SUM(AL17:AL20)</f>
        <v>20141</v>
      </c>
      <c r="AM16" s="223">
        <f>SUM(AM17:AM20)</f>
        <v>19283</v>
      </c>
      <c r="AN16" s="223">
        <f t="shared" ref="AN16:AO16" si="23">SUM(AN17:AN20)</f>
        <v>27450</v>
      </c>
      <c r="AO16" s="225">
        <f t="shared" si="23"/>
        <v>89018</v>
      </c>
    </row>
    <row r="17" spans="1:44" ht="15" customHeight="1" x14ac:dyDescent="0.25">
      <c r="A17" s="226" t="s">
        <v>209</v>
      </c>
      <c r="B17" s="234">
        <v>5971</v>
      </c>
      <c r="C17" s="234">
        <v>6813</v>
      </c>
      <c r="D17" s="234">
        <v>8503</v>
      </c>
      <c r="E17" s="234">
        <v>8579</v>
      </c>
      <c r="F17" s="235">
        <v>29866</v>
      </c>
      <c r="G17" s="234">
        <v>8220</v>
      </c>
      <c r="H17" s="234">
        <v>9220</v>
      </c>
      <c r="I17" s="234">
        <v>10406</v>
      </c>
      <c r="J17" s="234">
        <v>10623</v>
      </c>
      <c r="K17" s="235">
        <v>38469</v>
      </c>
      <c r="L17" s="234">
        <v>11091</v>
      </c>
      <c r="M17" s="234">
        <v>13003</v>
      </c>
      <c r="N17" s="234">
        <v>14320</v>
      </c>
      <c r="O17" s="234">
        <v>15575</v>
      </c>
      <c r="P17" s="236">
        <v>53988</v>
      </c>
      <c r="Q17" s="234">
        <v>15249</v>
      </c>
      <c r="R17" s="234">
        <v>15050</v>
      </c>
      <c r="S17" s="234">
        <v>16571</v>
      </c>
      <c r="T17" s="234">
        <v>20477</v>
      </c>
      <c r="U17" s="236">
        <v>67347</v>
      </c>
      <c r="V17" s="234">
        <v>9135</v>
      </c>
      <c r="W17" s="234">
        <v>10847</v>
      </c>
      <c r="X17" s="234">
        <v>12193</v>
      </c>
      <c r="Y17" s="234">
        <v>12691</v>
      </c>
      <c r="Z17" s="236">
        <v>44866</v>
      </c>
      <c r="AA17" s="234">
        <v>12771</v>
      </c>
      <c r="AB17" s="234">
        <v>13098</v>
      </c>
      <c r="AC17" s="234">
        <v>14712</v>
      </c>
      <c r="AD17" s="234">
        <v>15354</v>
      </c>
      <c r="AE17" s="236">
        <v>55935</v>
      </c>
      <c r="AF17" s="234">
        <v>15244</v>
      </c>
      <c r="AG17" s="234">
        <v>15744</v>
      </c>
      <c r="AH17" s="234">
        <v>15520</v>
      </c>
      <c r="AI17" s="234">
        <v>14611</v>
      </c>
      <c r="AJ17" s="236">
        <v>61119</v>
      </c>
      <c r="AK17" s="234">
        <v>14632</v>
      </c>
      <c r="AL17" s="234">
        <v>12625</v>
      </c>
      <c r="AM17" s="234">
        <v>11972</v>
      </c>
      <c r="AN17" s="234">
        <v>11653</v>
      </c>
      <c r="AO17" s="236">
        <v>50882</v>
      </c>
    </row>
    <row r="18" spans="1:44" ht="15" customHeight="1" x14ac:dyDescent="0.25">
      <c r="A18" s="226" t="s">
        <v>205</v>
      </c>
      <c r="B18" s="197">
        <v>1144</v>
      </c>
      <c r="C18" s="197">
        <v>1977</v>
      </c>
      <c r="D18" s="197">
        <v>1690</v>
      </c>
      <c r="E18" s="197">
        <v>3183</v>
      </c>
      <c r="F18" s="198">
        <v>7995</v>
      </c>
      <c r="G18" s="197">
        <v>2007</v>
      </c>
      <c r="H18" s="197">
        <v>1457</v>
      </c>
      <c r="I18" s="197">
        <v>1640</v>
      </c>
      <c r="J18" s="197">
        <v>2106</v>
      </c>
      <c r="K18" s="198">
        <v>7211</v>
      </c>
      <c r="L18" s="197">
        <v>2944</v>
      </c>
      <c r="M18" s="197">
        <v>3092</v>
      </c>
      <c r="N18" s="197">
        <v>2822</v>
      </c>
      <c r="O18" s="197">
        <v>2369</v>
      </c>
      <c r="P18" s="199">
        <v>11226</v>
      </c>
      <c r="Q18" s="197">
        <v>2221</v>
      </c>
      <c r="R18" s="197">
        <v>2245</v>
      </c>
      <c r="S18" s="197">
        <v>2724</v>
      </c>
      <c r="T18" s="197">
        <v>3412</v>
      </c>
      <c r="U18" s="199">
        <v>10602</v>
      </c>
      <c r="V18" s="197">
        <v>3477</v>
      </c>
      <c r="W18" s="197">
        <v>3534</v>
      </c>
      <c r="X18" s="197">
        <v>4249</v>
      </c>
      <c r="Y18" s="197">
        <v>5248</v>
      </c>
      <c r="Z18" s="199">
        <v>16508</v>
      </c>
      <c r="AA18" s="197">
        <v>5650</v>
      </c>
      <c r="AB18" s="197">
        <v>1658</v>
      </c>
      <c r="AC18" s="197">
        <v>1721</v>
      </c>
      <c r="AD18" s="197">
        <v>1712</v>
      </c>
      <c r="AE18" s="199">
        <v>10741</v>
      </c>
      <c r="AF18" s="197">
        <v>1753</v>
      </c>
      <c r="AG18" s="197">
        <v>2207</v>
      </c>
      <c r="AH18" s="197">
        <v>2557</v>
      </c>
      <c r="AI18" s="197">
        <v>2967</v>
      </c>
      <c r="AJ18" s="199">
        <v>9484</v>
      </c>
      <c r="AK18" s="197">
        <v>3293</v>
      </c>
      <c r="AL18" s="197">
        <v>3181</v>
      </c>
      <c r="AM18" s="197">
        <v>3208</v>
      </c>
      <c r="AN18" s="197">
        <v>12792</v>
      </c>
      <c r="AO18" s="199">
        <v>22474</v>
      </c>
    </row>
    <row r="19" spans="1:44" ht="15" customHeight="1" x14ac:dyDescent="0.25">
      <c r="A19" s="226" t="s">
        <v>206</v>
      </c>
      <c r="B19" s="197">
        <v>992</v>
      </c>
      <c r="C19" s="197">
        <v>1112</v>
      </c>
      <c r="D19" s="197">
        <v>1330</v>
      </c>
      <c r="E19" s="197">
        <v>1744</v>
      </c>
      <c r="F19" s="198">
        <v>5178</v>
      </c>
      <c r="G19" s="197">
        <v>1771</v>
      </c>
      <c r="H19" s="197">
        <v>2019</v>
      </c>
      <c r="I19" s="197">
        <v>1813</v>
      </c>
      <c r="J19" s="197">
        <v>2153</v>
      </c>
      <c r="K19" s="198">
        <v>7757</v>
      </c>
      <c r="L19" s="197">
        <v>4961</v>
      </c>
      <c r="M19" s="197">
        <v>4925</v>
      </c>
      <c r="N19" s="197">
        <v>5102</v>
      </c>
      <c r="O19" s="197">
        <v>4856</v>
      </c>
      <c r="P19" s="199">
        <v>19844</v>
      </c>
      <c r="Q19" s="197">
        <v>4454</v>
      </c>
      <c r="R19" s="197">
        <v>4518</v>
      </c>
      <c r="S19" s="197">
        <v>4442</v>
      </c>
      <c r="T19" s="197">
        <v>4831</v>
      </c>
      <c r="U19" s="199">
        <v>18245</v>
      </c>
      <c r="V19" s="197">
        <v>4864</v>
      </c>
      <c r="W19" s="197">
        <v>5109</v>
      </c>
      <c r="X19" s="197">
        <v>4178</v>
      </c>
      <c r="Y19" s="197">
        <v>10763</v>
      </c>
      <c r="Z19" s="199">
        <v>24914</v>
      </c>
      <c r="AA19" s="197">
        <v>4340</v>
      </c>
      <c r="AB19" s="197">
        <v>4221</v>
      </c>
      <c r="AC19" s="197">
        <v>4176</v>
      </c>
      <c r="AD19" s="197">
        <v>4033</v>
      </c>
      <c r="AE19" s="199">
        <v>16770</v>
      </c>
      <c r="AF19" s="197">
        <v>3954</v>
      </c>
      <c r="AG19" s="197">
        <v>3702</v>
      </c>
      <c r="AH19" s="197">
        <v>3545</v>
      </c>
      <c r="AI19" s="197">
        <v>3579</v>
      </c>
      <c r="AJ19" s="199">
        <v>14780</v>
      </c>
      <c r="AK19" s="197">
        <v>3609</v>
      </c>
      <c r="AL19" s="197">
        <v>3729</v>
      </c>
      <c r="AM19" s="197">
        <v>3540</v>
      </c>
      <c r="AN19" s="197">
        <v>3930</v>
      </c>
      <c r="AO19" s="199">
        <v>14808</v>
      </c>
    </row>
    <row r="20" spans="1:44" ht="15" customHeight="1" x14ac:dyDescent="0.25">
      <c r="A20" s="226" t="s">
        <v>207</v>
      </c>
      <c r="B20" s="231">
        <v>321</v>
      </c>
      <c r="C20" s="231">
        <v>376</v>
      </c>
      <c r="D20" s="231">
        <v>369</v>
      </c>
      <c r="E20" s="231">
        <v>461</v>
      </c>
      <c r="F20" s="232">
        <v>1526</v>
      </c>
      <c r="G20" s="231">
        <v>518</v>
      </c>
      <c r="H20" s="231">
        <v>604</v>
      </c>
      <c r="I20" s="231">
        <v>912</v>
      </c>
      <c r="J20" s="231">
        <v>1308</v>
      </c>
      <c r="K20" s="232">
        <v>3342</v>
      </c>
      <c r="L20" s="231">
        <v>1171</v>
      </c>
      <c r="M20" s="231">
        <v>1286</v>
      </c>
      <c r="N20" s="231">
        <v>1511</v>
      </c>
      <c r="O20" s="231">
        <v>1770</v>
      </c>
      <c r="P20" s="233">
        <v>5738</v>
      </c>
      <c r="Q20" s="231">
        <v>1722</v>
      </c>
      <c r="R20" s="231">
        <v>1747</v>
      </c>
      <c r="S20" s="231">
        <v>1882</v>
      </c>
      <c r="T20" s="231">
        <v>1955</v>
      </c>
      <c r="U20" s="233">
        <v>7306</v>
      </c>
      <c r="V20" s="231">
        <v>1820</v>
      </c>
      <c r="W20" s="231">
        <v>1825</v>
      </c>
      <c r="X20" s="231">
        <v>1768</v>
      </c>
      <c r="Y20" s="231">
        <v>1787</v>
      </c>
      <c r="Z20" s="233">
        <v>7200</v>
      </c>
      <c r="AA20" s="231">
        <v>1377</v>
      </c>
      <c r="AB20" s="231">
        <v>1231</v>
      </c>
      <c r="AC20" s="231">
        <v>1143</v>
      </c>
      <c r="AD20" s="231">
        <v>1041</v>
      </c>
      <c r="AE20" s="233">
        <v>4792</v>
      </c>
      <c r="AF20" s="231">
        <v>903</v>
      </c>
      <c r="AG20" s="231">
        <v>838</v>
      </c>
      <c r="AH20" s="231">
        <v>679</v>
      </c>
      <c r="AI20" s="231">
        <v>599</v>
      </c>
      <c r="AJ20" s="233">
        <v>3019</v>
      </c>
      <c r="AK20" s="231">
        <v>610</v>
      </c>
      <c r="AL20" s="231">
        <v>606</v>
      </c>
      <c r="AM20" s="231">
        <v>563</v>
      </c>
      <c r="AN20" s="231">
        <v>-925</v>
      </c>
      <c r="AO20" s="233">
        <v>854</v>
      </c>
    </row>
    <row r="21" spans="1:44" ht="15" customHeight="1" x14ac:dyDescent="0.25">
      <c r="A21" s="151" t="s">
        <v>197</v>
      </c>
      <c r="B21" s="223">
        <f t="shared" ref="B21:AH21" si="24">SUM(B23:B23)</f>
        <v>0</v>
      </c>
      <c r="C21" s="223">
        <f t="shared" si="24"/>
        <v>0</v>
      </c>
      <c r="D21" s="223">
        <f t="shared" si="24"/>
        <v>0</v>
      </c>
      <c r="E21" s="223">
        <f t="shared" si="24"/>
        <v>0</v>
      </c>
      <c r="F21" s="224">
        <f t="shared" si="24"/>
        <v>0</v>
      </c>
      <c r="G21" s="223">
        <f t="shared" si="24"/>
        <v>0</v>
      </c>
      <c r="H21" s="223">
        <f t="shared" si="24"/>
        <v>148</v>
      </c>
      <c r="I21" s="223">
        <f t="shared" si="24"/>
        <v>1793</v>
      </c>
      <c r="J21" s="223">
        <f t="shared" si="24"/>
        <v>980</v>
      </c>
      <c r="K21" s="224">
        <f t="shared" si="24"/>
        <v>2921</v>
      </c>
      <c r="L21" s="223">
        <f t="shared" si="24"/>
        <v>6</v>
      </c>
      <c r="M21" s="223">
        <f t="shared" si="24"/>
        <v>0</v>
      </c>
      <c r="N21" s="223">
        <f t="shared" si="24"/>
        <v>0</v>
      </c>
      <c r="O21" s="223">
        <f t="shared" si="24"/>
        <v>0</v>
      </c>
      <c r="P21" s="225">
        <f t="shared" si="24"/>
        <v>6</v>
      </c>
      <c r="Q21" s="223">
        <f t="shared" si="24"/>
        <v>0</v>
      </c>
      <c r="R21" s="223">
        <f t="shared" si="24"/>
        <v>0</v>
      </c>
      <c r="S21" s="223">
        <f t="shared" si="24"/>
        <v>516</v>
      </c>
      <c r="T21" s="223">
        <f t="shared" si="24"/>
        <v>1222</v>
      </c>
      <c r="U21" s="225">
        <f t="shared" si="24"/>
        <v>1738</v>
      </c>
      <c r="V21" s="223">
        <f t="shared" si="24"/>
        <v>0</v>
      </c>
      <c r="W21" s="223">
        <f t="shared" si="24"/>
        <v>0</v>
      </c>
      <c r="X21" s="223">
        <f t="shared" si="24"/>
        <v>0</v>
      </c>
      <c r="Y21" s="223">
        <f t="shared" si="24"/>
        <v>0</v>
      </c>
      <c r="Z21" s="225">
        <f t="shared" si="24"/>
        <v>0</v>
      </c>
      <c r="AA21" s="223">
        <f t="shared" si="24"/>
        <v>0</v>
      </c>
      <c r="AB21" s="223">
        <f t="shared" si="24"/>
        <v>0</v>
      </c>
      <c r="AC21" s="223">
        <f t="shared" si="24"/>
        <v>112</v>
      </c>
      <c r="AD21" s="223">
        <f t="shared" si="24"/>
        <v>174</v>
      </c>
      <c r="AE21" s="225">
        <f t="shared" si="24"/>
        <v>286</v>
      </c>
      <c r="AF21" s="223">
        <f t="shared" si="24"/>
        <v>0</v>
      </c>
      <c r="AG21" s="223">
        <f t="shared" si="24"/>
        <v>3047</v>
      </c>
      <c r="AH21" s="223">
        <f t="shared" si="24"/>
        <v>2091</v>
      </c>
      <c r="AI21" s="223">
        <f>SUM(AI23:AI23)</f>
        <v>6118</v>
      </c>
      <c r="AJ21" s="225">
        <f>SUM(AJ23:AJ23)</f>
        <v>11256</v>
      </c>
      <c r="AK21" s="223">
        <f>SUM(AK23:AK23)</f>
        <v>2544</v>
      </c>
      <c r="AL21" s="223">
        <f>SUM(AL22:AL23)</f>
        <v>1977</v>
      </c>
      <c r="AM21" s="223">
        <f>SUM(AM22:AM23)</f>
        <v>6970</v>
      </c>
      <c r="AN21" s="223">
        <f>SUM(AN22:AN23)</f>
        <v>1093</v>
      </c>
      <c r="AO21" s="225">
        <f>SUM(AO22:AO23)</f>
        <v>12584</v>
      </c>
    </row>
    <row r="22" spans="1:44" ht="15" customHeight="1" x14ac:dyDescent="0.25">
      <c r="A22" s="226" t="s">
        <v>206</v>
      </c>
      <c r="B22" s="237"/>
      <c r="C22" s="237"/>
      <c r="D22" s="237"/>
      <c r="E22" s="237"/>
      <c r="F22" s="238"/>
      <c r="G22" s="237"/>
      <c r="H22" s="237"/>
      <c r="I22" s="237"/>
      <c r="J22" s="237"/>
      <c r="K22" s="238"/>
      <c r="L22" s="237"/>
      <c r="M22" s="237"/>
      <c r="N22" s="237"/>
      <c r="O22" s="237"/>
      <c r="P22" s="239"/>
      <c r="Q22" s="237"/>
      <c r="R22" s="237"/>
      <c r="S22" s="237"/>
      <c r="T22" s="240"/>
      <c r="U22" s="241"/>
      <c r="V22" s="240"/>
      <c r="W22" s="240"/>
      <c r="X22" s="240"/>
      <c r="Y22" s="240"/>
      <c r="Z22" s="241"/>
      <c r="AA22" s="240"/>
      <c r="AB22" s="240"/>
      <c r="AC22" s="240"/>
      <c r="AD22" s="240"/>
      <c r="AE22" s="241"/>
      <c r="AF22" s="240"/>
      <c r="AG22" s="240"/>
      <c r="AH22" s="240"/>
      <c r="AI22" s="240"/>
      <c r="AJ22" s="241"/>
      <c r="AK22" s="240"/>
      <c r="AL22" s="197">
        <v>178</v>
      </c>
      <c r="AM22" s="197">
        <v>-11</v>
      </c>
      <c r="AN22" s="197">
        <v>-2</v>
      </c>
      <c r="AO22" s="199">
        <v>165</v>
      </c>
    </row>
    <row r="23" spans="1:44" ht="15" customHeight="1" x14ac:dyDescent="0.25">
      <c r="A23" s="226" t="s">
        <v>207</v>
      </c>
      <c r="B23" s="231"/>
      <c r="C23" s="231"/>
      <c r="D23" s="231"/>
      <c r="E23" s="231"/>
      <c r="F23" s="232"/>
      <c r="G23" s="231">
        <v>0</v>
      </c>
      <c r="H23" s="231">
        <v>148</v>
      </c>
      <c r="I23" s="231">
        <v>1793</v>
      </c>
      <c r="J23" s="231">
        <v>980</v>
      </c>
      <c r="K23" s="232">
        <v>2921</v>
      </c>
      <c r="L23" s="231">
        <v>6</v>
      </c>
      <c r="M23" s="231"/>
      <c r="N23" s="231">
        <v>0</v>
      </c>
      <c r="O23" s="231">
        <v>0</v>
      </c>
      <c r="P23" s="233">
        <v>6</v>
      </c>
      <c r="Q23" s="231">
        <v>0</v>
      </c>
      <c r="R23" s="231">
        <v>0</v>
      </c>
      <c r="S23" s="231">
        <v>516</v>
      </c>
      <c r="T23" s="231">
        <v>1222</v>
      </c>
      <c r="U23" s="202">
        <f>SUM(Q23:T23)</f>
        <v>1738</v>
      </c>
      <c r="V23" s="231">
        <v>0</v>
      </c>
      <c r="W23" s="231">
        <v>0</v>
      </c>
      <c r="X23" s="231">
        <v>0</v>
      </c>
      <c r="Y23" s="231">
        <v>0</v>
      </c>
      <c r="Z23" s="202">
        <v>0</v>
      </c>
      <c r="AA23" s="231">
        <v>0</v>
      </c>
      <c r="AB23" s="231">
        <v>0</v>
      </c>
      <c r="AC23" s="231">
        <v>112</v>
      </c>
      <c r="AD23" s="231">
        <v>174</v>
      </c>
      <c r="AE23" s="233">
        <v>286</v>
      </c>
      <c r="AF23" s="231">
        <v>0</v>
      </c>
      <c r="AG23" s="231">
        <v>3047</v>
      </c>
      <c r="AH23" s="231">
        <v>2091</v>
      </c>
      <c r="AI23" s="231">
        <v>6118</v>
      </c>
      <c r="AJ23" s="233">
        <v>11256</v>
      </c>
      <c r="AK23" s="231">
        <v>2544</v>
      </c>
      <c r="AL23" s="231">
        <v>1799</v>
      </c>
      <c r="AM23" s="231">
        <v>6981</v>
      </c>
      <c r="AN23" s="231">
        <v>1095</v>
      </c>
      <c r="AO23" s="199">
        <v>12419</v>
      </c>
    </row>
    <row r="24" spans="1:44" x14ac:dyDescent="0.25">
      <c r="A24" s="12" t="s">
        <v>191</v>
      </c>
      <c r="B24" s="223">
        <f t="shared" ref="B24:G24" si="25">SUM(B25:B26)</f>
        <v>109</v>
      </c>
      <c r="C24" s="223">
        <f t="shared" si="25"/>
        <v>115</v>
      </c>
      <c r="D24" s="223">
        <f t="shared" si="25"/>
        <v>54</v>
      </c>
      <c r="E24" s="223">
        <f t="shared" si="25"/>
        <v>-2172</v>
      </c>
      <c r="F24" s="224">
        <f t="shared" si="25"/>
        <v>-1894</v>
      </c>
      <c r="G24" s="223">
        <f t="shared" si="25"/>
        <v>40</v>
      </c>
      <c r="H24" s="223">
        <f t="shared" ref="H24:Z24" si="26">SUM(H25:H26)</f>
        <v>44</v>
      </c>
      <c r="I24" s="223">
        <f t="shared" si="26"/>
        <v>3</v>
      </c>
      <c r="J24" s="223">
        <f t="shared" si="26"/>
        <v>-3</v>
      </c>
      <c r="K24" s="224">
        <f t="shared" si="26"/>
        <v>85</v>
      </c>
      <c r="L24" s="223">
        <f t="shared" si="26"/>
        <v>0</v>
      </c>
      <c r="M24" s="223">
        <f t="shared" si="26"/>
        <v>0</v>
      </c>
      <c r="N24" s="223">
        <f t="shared" si="26"/>
        <v>0</v>
      </c>
      <c r="O24" s="223">
        <f t="shared" si="26"/>
        <v>0</v>
      </c>
      <c r="P24" s="225">
        <f t="shared" si="26"/>
        <v>0</v>
      </c>
      <c r="Q24" s="223">
        <f t="shared" si="26"/>
        <v>0</v>
      </c>
      <c r="R24" s="223">
        <f t="shared" si="26"/>
        <v>0</v>
      </c>
      <c r="S24" s="223">
        <f t="shared" ref="S24" si="27">SUM(S25:S26)</f>
        <v>0</v>
      </c>
      <c r="T24" s="223">
        <f t="shared" si="26"/>
        <v>0</v>
      </c>
      <c r="U24" s="225">
        <f t="shared" si="26"/>
        <v>0</v>
      </c>
      <c r="V24" s="223">
        <f t="shared" si="26"/>
        <v>0</v>
      </c>
      <c r="W24" s="223">
        <f t="shared" si="26"/>
        <v>0</v>
      </c>
      <c r="X24" s="223">
        <f t="shared" si="26"/>
        <v>0</v>
      </c>
      <c r="Y24" s="223">
        <f t="shared" si="26"/>
        <v>0</v>
      </c>
      <c r="Z24" s="225">
        <f t="shared" si="26"/>
        <v>0</v>
      </c>
      <c r="AA24" s="223">
        <f t="shared" ref="AA24:AE24" si="28">SUM(AA25:AA26)</f>
        <v>0</v>
      </c>
      <c r="AB24" s="223">
        <f t="shared" si="28"/>
        <v>0</v>
      </c>
      <c r="AC24" s="223">
        <f t="shared" si="28"/>
        <v>0</v>
      </c>
      <c r="AD24" s="223">
        <f t="shared" si="28"/>
        <v>0</v>
      </c>
      <c r="AE24" s="225">
        <f t="shared" si="28"/>
        <v>0</v>
      </c>
      <c r="AF24" s="223">
        <f t="shared" ref="AF24:AJ24" si="29">SUM(AF25:AF26)</f>
        <v>0</v>
      </c>
      <c r="AG24" s="223">
        <f t="shared" si="29"/>
        <v>0</v>
      </c>
      <c r="AH24" s="223">
        <f t="shared" si="29"/>
        <v>0</v>
      </c>
      <c r="AI24" s="223">
        <f t="shared" si="29"/>
        <v>0</v>
      </c>
      <c r="AJ24" s="225">
        <f t="shared" si="29"/>
        <v>0</v>
      </c>
      <c r="AK24" s="223">
        <f t="shared" ref="AK24:AL24" si="30">SUM(AK25:AK26)</f>
        <v>0</v>
      </c>
      <c r="AL24" s="223">
        <f t="shared" si="30"/>
        <v>0</v>
      </c>
      <c r="AM24" s="223">
        <f>SUM(AM25:AM26)</f>
        <v>0</v>
      </c>
      <c r="AN24" s="223">
        <f t="shared" ref="AN24:AO24" si="31">SUM(AN25:AN26)</f>
        <v>0</v>
      </c>
      <c r="AO24" s="225">
        <f t="shared" si="31"/>
        <v>0</v>
      </c>
    </row>
    <row r="25" spans="1:44" ht="15" customHeight="1" x14ac:dyDescent="0.25">
      <c r="A25" s="226" t="s">
        <v>205</v>
      </c>
      <c r="B25" s="234">
        <v>109</v>
      </c>
      <c r="C25" s="234">
        <v>115</v>
      </c>
      <c r="D25" s="234">
        <v>54</v>
      </c>
      <c r="E25" s="234">
        <v>46</v>
      </c>
      <c r="F25" s="235">
        <v>324</v>
      </c>
      <c r="G25" s="234">
        <v>40</v>
      </c>
      <c r="H25" s="234">
        <v>44</v>
      </c>
      <c r="I25" s="234">
        <v>3</v>
      </c>
      <c r="J25" s="234">
        <v>-3</v>
      </c>
      <c r="K25" s="235">
        <v>85</v>
      </c>
      <c r="L25" s="234">
        <v>0</v>
      </c>
      <c r="M25" s="234"/>
      <c r="N25" s="234">
        <v>0</v>
      </c>
      <c r="O25" s="234">
        <v>0</v>
      </c>
      <c r="P25" s="236">
        <v>0</v>
      </c>
      <c r="Q25" s="234">
        <v>0</v>
      </c>
      <c r="R25" s="234">
        <v>0</v>
      </c>
      <c r="S25" s="234">
        <v>0</v>
      </c>
      <c r="T25" s="234">
        <v>0</v>
      </c>
      <c r="U25" s="236">
        <v>0</v>
      </c>
      <c r="V25" s="234">
        <v>0</v>
      </c>
      <c r="W25" s="234">
        <v>0</v>
      </c>
      <c r="X25" s="234">
        <v>0</v>
      </c>
      <c r="Y25" s="234">
        <v>0</v>
      </c>
      <c r="Z25" s="236">
        <v>0</v>
      </c>
      <c r="AA25" s="234">
        <v>0</v>
      </c>
      <c r="AB25" s="234">
        <v>0</v>
      </c>
      <c r="AC25" s="234">
        <v>0</v>
      </c>
      <c r="AD25" s="234">
        <v>0</v>
      </c>
      <c r="AE25" s="236">
        <v>0</v>
      </c>
      <c r="AF25" s="234">
        <v>0</v>
      </c>
      <c r="AG25" s="234"/>
      <c r="AH25" s="234">
        <v>0</v>
      </c>
      <c r="AI25" s="234">
        <v>0</v>
      </c>
      <c r="AJ25" s="236">
        <v>0</v>
      </c>
      <c r="AK25" s="234">
        <v>0</v>
      </c>
      <c r="AL25" s="234">
        <v>0</v>
      </c>
      <c r="AM25" s="234">
        <v>0</v>
      </c>
      <c r="AN25" s="234">
        <v>0</v>
      </c>
      <c r="AO25" s="236">
        <v>0</v>
      </c>
    </row>
    <row r="26" spans="1:44" ht="15" customHeight="1" x14ac:dyDescent="0.25">
      <c r="A26" s="226" t="s">
        <v>207</v>
      </c>
      <c r="B26" s="231">
        <v>0</v>
      </c>
      <c r="C26" s="231"/>
      <c r="D26" s="231"/>
      <c r="E26" s="231">
        <v>-2218</v>
      </c>
      <c r="F26" s="232">
        <v>-2218</v>
      </c>
      <c r="G26" s="231">
        <v>0</v>
      </c>
      <c r="H26" s="231">
        <v>0</v>
      </c>
      <c r="I26" s="231">
        <v>0</v>
      </c>
      <c r="J26" s="231">
        <v>0</v>
      </c>
      <c r="K26" s="232">
        <v>0</v>
      </c>
      <c r="L26" s="231">
        <v>0</v>
      </c>
      <c r="M26" s="231"/>
      <c r="N26" s="231">
        <v>0</v>
      </c>
      <c r="O26" s="231">
        <v>0</v>
      </c>
      <c r="P26" s="233">
        <v>0</v>
      </c>
      <c r="Q26" s="231">
        <v>0</v>
      </c>
      <c r="R26" s="231">
        <v>0</v>
      </c>
      <c r="S26" s="231">
        <v>0</v>
      </c>
      <c r="T26" s="231">
        <v>0</v>
      </c>
      <c r="U26" s="233">
        <v>0</v>
      </c>
      <c r="V26" s="231">
        <v>0</v>
      </c>
      <c r="W26" s="231">
        <v>0</v>
      </c>
      <c r="X26" s="231">
        <v>0</v>
      </c>
      <c r="Y26" s="231">
        <v>0</v>
      </c>
      <c r="Z26" s="233">
        <v>0</v>
      </c>
      <c r="AA26" s="231">
        <v>0</v>
      </c>
      <c r="AB26" s="231">
        <v>0</v>
      </c>
      <c r="AC26" s="231">
        <v>0</v>
      </c>
      <c r="AD26" s="231">
        <v>0</v>
      </c>
      <c r="AE26" s="233">
        <v>0</v>
      </c>
      <c r="AF26" s="231">
        <v>0</v>
      </c>
      <c r="AG26" s="231"/>
      <c r="AH26" s="231">
        <v>0</v>
      </c>
      <c r="AI26" s="231">
        <v>0</v>
      </c>
      <c r="AJ26" s="233">
        <v>0</v>
      </c>
      <c r="AK26" s="231">
        <v>0</v>
      </c>
      <c r="AL26" s="231">
        <v>0</v>
      </c>
      <c r="AM26" s="231">
        <v>0</v>
      </c>
      <c r="AN26" s="231">
        <v>0</v>
      </c>
      <c r="AO26" s="233">
        <v>0</v>
      </c>
    </row>
    <row r="27" spans="1:44" ht="15" customHeight="1" x14ac:dyDescent="0.25">
      <c r="A27" s="12" t="s">
        <v>198</v>
      </c>
      <c r="B27" s="231"/>
      <c r="C27" s="231"/>
      <c r="D27" s="231"/>
      <c r="E27" s="231"/>
      <c r="F27" s="232"/>
      <c r="G27" s="231"/>
      <c r="H27" s="231"/>
      <c r="I27" s="231"/>
      <c r="J27" s="231"/>
      <c r="K27" s="232"/>
      <c r="L27" s="231"/>
      <c r="M27" s="231"/>
      <c r="N27" s="231"/>
      <c r="O27" s="231"/>
      <c r="P27" s="233"/>
      <c r="Q27" s="231"/>
      <c r="R27" s="231"/>
      <c r="S27" s="231"/>
      <c r="T27" s="197"/>
      <c r="U27" s="199"/>
      <c r="V27" s="197"/>
      <c r="W27" s="197"/>
      <c r="X27" s="197"/>
      <c r="Y27" s="197"/>
      <c r="Z27" s="199"/>
      <c r="AA27" s="197"/>
      <c r="AB27" s="197"/>
      <c r="AC27" s="197"/>
      <c r="AD27" s="197"/>
      <c r="AE27" s="199"/>
      <c r="AF27" s="197"/>
      <c r="AG27" s="197"/>
      <c r="AH27" s="197"/>
      <c r="AI27" s="197"/>
      <c r="AJ27" s="199"/>
      <c r="AK27" s="197"/>
      <c r="AL27" s="242">
        <f>SUM(AL28)</f>
        <v>65684</v>
      </c>
      <c r="AM27" s="242">
        <f>SUM(AM28)</f>
        <v>-1764</v>
      </c>
      <c r="AN27" s="242">
        <f>SUM(AN28)</f>
        <v>-699</v>
      </c>
      <c r="AO27" s="225">
        <f>SUM(AO28)</f>
        <v>63221</v>
      </c>
    </row>
    <row r="28" spans="1:44" ht="15" customHeight="1" x14ac:dyDescent="0.25">
      <c r="A28" s="226" t="s">
        <v>207</v>
      </c>
      <c r="B28" s="231"/>
      <c r="C28" s="231"/>
      <c r="D28" s="231"/>
      <c r="E28" s="231"/>
      <c r="F28" s="232"/>
      <c r="G28" s="231"/>
      <c r="H28" s="231"/>
      <c r="I28" s="231"/>
      <c r="J28" s="231"/>
      <c r="K28" s="232"/>
      <c r="L28" s="231"/>
      <c r="M28" s="231"/>
      <c r="N28" s="231"/>
      <c r="O28" s="231"/>
      <c r="P28" s="233"/>
      <c r="Q28" s="231"/>
      <c r="R28" s="231"/>
      <c r="S28" s="231"/>
      <c r="T28" s="231">
        <v>0</v>
      </c>
      <c r="U28" s="233">
        <v>0</v>
      </c>
      <c r="V28" s="231">
        <v>0</v>
      </c>
      <c r="W28" s="231">
        <v>0</v>
      </c>
      <c r="X28" s="231">
        <v>0</v>
      </c>
      <c r="Y28" s="231">
        <v>0</v>
      </c>
      <c r="Z28" s="233">
        <v>0</v>
      </c>
      <c r="AA28" s="231">
        <v>0</v>
      </c>
      <c r="AB28" s="231">
        <v>0</v>
      </c>
      <c r="AC28" s="231">
        <v>0</v>
      </c>
      <c r="AD28" s="231">
        <v>0</v>
      </c>
      <c r="AE28" s="233">
        <v>0</v>
      </c>
      <c r="AF28" s="231">
        <v>0</v>
      </c>
      <c r="AG28" s="231"/>
      <c r="AH28" s="231">
        <v>0</v>
      </c>
      <c r="AI28" s="231">
        <v>0</v>
      </c>
      <c r="AJ28" s="233">
        <v>0</v>
      </c>
      <c r="AK28" s="231">
        <v>0</v>
      </c>
      <c r="AL28" s="231">
        <v>65684</v>
      </c>
      <c r="AM28" s="231">
        <v>-1764</v>
      </c>
      <c r="AN28" s="231">
        <v>-699</v>
      </c>
      <c r="AO28" s="233">
        <v>63221</v>
      </c>
    </row>
    <row r="29" spans="1:44" ht="27" customHeight="1" x14ac:dyDescent="0.25">
      <c r="A29" s="151" t="s">
        <v>190</v>
      </c>
      <c r="B29" s="223">
        <f t="shared" ref="B29:F29" si="32">SUM(B30:B33)</f>
        <v>0</v>
      </c>
      <c r="C29" s="223">
        <f t="shared" si="32"/>
        <v>0</v>
      </c>
      <c r="D29" s="223">
        <f t="shared" si="32"/>
        <v>0</v>
      </c>
      <c r="E29" s="223">
        <f t="shared" si="32"/>
        <v>0</v>
      </c>
      <c r="F29" s="224">
        <f t="shared" si="32"/>
        <v>0</v>
      </c>
      <c r="G29" s="223">
        <f>SUM(G30:G33)</f>
        <v>0</v>
      </c>
      <c r="H29" s="223">
        <f>SUM(H30:H33)</f>
        <v>0</v>
      </c>
      <c r="I29" s="223">
        <f>SUM(I30:I33)</f>
        <v>0</v>
      </c>
      <c r="J29" s="223">
        <f t="shared" ref="J29:K29" si="33">SUM(J30:J33)</f>
        <v>0</v>
      </c>
      <c r="K29" s="224">
        <f t="shared" si="33"/>
        <v>0</v>
      </c>
      <c r="L29" s="223">
        <f>SUM(L30:L33)</f>
        <v>0</v>
      </c>
      <c r="M29" s="223">
        <f t="shared" ref="M29:P29" si="34">SUM(M30:M33)</f>
        <v>3299</v>
      </c>
      <c r="N29" s="223">
        <f>SUM(N30:N33)</f>
        <v>0</v>
      </c>
      <c r="O29" s="223">
        <f t="shared" si="34"/>
        <v>4057</v>
      </c>
      <c r="P29" s="225">
        <f t="shared" si="34"/>
        <v>7356</v>
      </c>
      <c r="Q29" s="223">
        <f>SUM(Q30:Q33)</f>
        <v>-252</v>
      </c>
      <c r="R29" s="223">
        <f>SUM(R30:R33)</f>
        <v>199</v>
      </c>
      <c r="S29" s="223">
        <f>SUM(S30:S33)</f>
        <v>0</v>
      </c>
      <c r="T29" s="223">
        <f t="shared" ref="T29:U29" si="35">SUM(T30:T33)</f>
        <v>0</v>
      </c>
      <c r="U29" s="225">
        <f t="shared" si="35"/>
        <v>-53</v>
      </c>
      <c r="V29" s="223">
        <f>SUM(V30:V33)</f>
        <v>1890</v>
      </c>
      <c r="W29" s="223">
        <f>SUM(W30:W33)</f>
        <v>728</v>
      </c>
      <c r="X29" s="223">
        <f>SUM(X30:X33)</f>
        <v>303</v>
      </c>
      <c r="Y29" s="223">
        <f t="shared" ref="Y29:Z29" si="36">SUM(Y30:Y33)</f>
        <v>10661</v>
      </c>
      <c r="Z29" s="225">
        <f t="shared" si="36"/>
        <v>13582</v>
      </c>
      <c r="AA29" s="223">
        <f>SUM(AA30:AA33)</f>
        <v>2209</v>
      </c>
      <c r="AB29" s="223">
        <f>SUM(AB30:AB33)</f>
        <v>1216</v>
      </c>
      <c r="AC29" s="223">
        <f>SUM(AC30:AC33)</f>
        <v>12181</v>
      </c>
      <c r="AD29" s="223">
        <f t="shared" ref="AD29:AE29" si="37">SUM(AD30:AD33)</f>
        <v>4383</v>
      </c>
      <c r="AE29" s="225">
        <f t="shared" si="37"/>
        <v>19989</v>
      </c>
      <c r="AF29" s="223">
        <f>SUM(AF30:AF33)</f>
        <v>11636</v>
      </c>
      <c r="AG29" s="223">
        <f>SUM(AG30:AG33)</f>
        <v>9996</v>
      </c>
      <c r="AH29" s="223">
        <f>SUM(AH30:AH33)</f>
        <v>-1767</v>
      </c>
      <c r="AI29" s="223">
        <f t="shared" ref="AI29:AJ29" si="38">SUM(AI30:AI33)</f>
        <v>1833</v>
      </c>
      <c r="AJ29" s="225">
        <f t="shared" si="38"/>
        <v>21698</v>
      </c>
      <c r="AK29" s="223">
        <f>SUM(AK30:AK33)</f>
        <v>710</v>
      </c>
      <c r="AL29" s="223">
        <f>SUM(AL30:AL33)</f>
        <v>5925</v>
      </c>
      <c r="AM29" s="223">
        <f>SUM(AM30:AM33)</f>
        <v>-81</v>
      </c>
      <c r="AN29" s="223">
        <f>SUM(AN30:AN33)</f>
        <v>4123</v>
      </c>
      <c r="AO29" s="225">
        <f t="shared" ref="AO29" si="39">SUM(AO30:AO33)</f>
        <v>10677</v>
      </c>
      <c r="AR29" s="197"/>
    </row>
    <row r="30" spans="1:44" ht="15" customHeight="1" x14ac:dyDescent="0.25">
      <c r="A30" s="226" t="s">
        <v>101</v>
      </c>
      <c r="B30" s="234"/>
      <c r="C30" s="234"/>
      <c r="D30" s="234"/>
      <c r="E30" s="234"/>
      <c r="F30" s="235"/>
      <c r="G30" s="234">
        <v>0</v>
      </c>
      <c r="H30" s="234">
        <v>0</v>
      </c>
      <c r="I30" s="234">
        <v>0</v>
      </c>
      <c r="J30" s="234">
        <v>0</v>
      </c>
      <c r="K30" s="235">
        <v>0</v>
      </c>
      <c r="L30" s="234">
        <v>0</v>
      </c>
      <c r="M30" s="234">
        <v>2497</v>
      </c>
      <c r="N30" s="234">
        <v>0</v>
      </c>
      <c r="O30" s="234">
        <v>0</v>
      </c>
      <c r="P30" s="236">
        <v>2497</v>
      </c>
      <c r="Q30" s="234">
        <v>0</v>
      </c>
      <c r="R30" s="234">
        <v>0</v>
      </c>
      <c r="S30" s="234">
        <v>0</v>
      </c>
      <c r="T30" s="234">
        <v>0</v>
      </c>
      <c r="U30" s="243">
        <f>SUM(Q30:T30)</f>
        <v>0</v>
      </c>
      <c r="V30" s="234">
        <v>0</v>
      </c>
      <c r="W30" s="234">
        <v>0</v>
      </c>
      <c r="X30" s="234">
        <v>0</v>
      </c>
      <c r="Y30" s="234">
        <v>0</v>
      </c>
      <c r="Z30" s="243">
        <v>0</v>
      </c>
      <c r="AA30" s="234">
        <v>0</v>
      </c>
      <c r="AB30" s="234">
        <v>0</v>
      </c>
      <c r="AC30" s="234">
        <v>0</v>
      </c>
      <c r="AD30" s="234">
        <v>0</v>
      </c>
      <c r="AE30" s="243">
        <v>0</v>
      </c>
      <c r="AF30" s="234">
        <v>0</v>
      </c>
      <c r="AG30" s="234">
        <v>0</v>
      </c>
      <c r="AH30" s="234">
        <v>0</v>
      </c>
      <c r="AI30" s="234">
        <v>0</v>
      </c>
      <c r="AJ30" s="243">
        <v>0</v>
      </c>
      <c r="AK30" s="234">
        <v>0</v>
      </c>
      <c r="AL30" s="234">
        <v>0</v>
      </c>
      <c r="AM30" s="234">
        <v>0</v>
      </c>
      <c r="AN30" s="234">
        <v>0</v>
      </c>
      <c r="AO30" s="243">
        <v>0</v>
      </c>
    </row>
    <row r="31" spans="1:44" ht="15" customHeight="1" x14ac:dyDescent="0.25">
      <c r="A31" s="226" t="s">
        <v>205</v>
      </c>
      <c r="B31" s="197"/>
      <c r="C31" s="197"/>
      <c r="D31" s="197"/>
      <c r="E31" s="197"/>
      <c r="F31" s="198"/>
      <c r="G31" s="197"/>
      <c r="H31" s="197"/>
      <c r="I31" s="197">
        <v>0</v>
      </c>
      <c r="J31" s="197">
        <v>0</v>
      </c>
      <c r="K31" s="198">
        <v>0</v>
      </c>
      <c r="L31" s="197">
        <v>0</v>
      </c>
      <c r="M31" s="197">
        <v>0</v>
      </c>
      <c r="N31" s="197">
        <v>0</v>
      </c>
      <c r="O31" s="197">
        <v>2911</v>
      </c>
      <c r="P31" s="199">
        <v>2911</v>
      </c>
      <c r="Q31" s="197">
        <v>-348</v>
      </c>
      <c r="R31" s="197">
        <v>16</v>
      </c>
      <c r="S31" s="197">
        <v>0</v>
      </c>
      <c r="T31" s="197">
        <v>0</v>
      </c>
      <c r="U31" s="196">
        <f>SUM(Q31:T31)</f>
        <v>-332</v>
      </c>
      <c r="V31" s="197">
        <v>0</v>
      </c>
      <c r="W31" s="197">
        <v>124</v>
      </c>
      <c r="X31" s="197">
        <v>172</v>
      </c>
      <c r="Y31" s="197">
        <v>1704</v>
      </c>
      <c r="Z31" s="199">
        <v>2000</v>
      </c>
      <c r="AA31" s="197">
        <v>995</v>
      </c>
      <c r="AB31" s="197">
        <v>513</v>
      </c>
      <c r="AC31" s="197">
        <v>1985</v>
      </c>
      <c r="AD31" s="197">
        <v>747</v>
      </c>
      <c r="AE31" s="199">
        <v>4240</v>
      </c>
      <c r="AF31" s="197">
        <v>1436</v>
      </c>
      <c r="AG31" s="197">
        <v>4831</v>
      </c>
      <c r="AH31" s="197">
        <v>-1029</v>
      </c>
      <c r="AI31" s="197">
        <v>513</v>
      </c>
      <c r="AJ31" s="199">
        <v>5751</v>
      </c>
      <c r="AK31" s="197">
        <v>9</v>
      </c>
      <c r="AL31" s="197">
        <v>1029</v>
      </c>
      <c r="AM31" s="197">
        <v>-53</v>
      </c>
      <c r="AN31" s="197">
        <v>633</v>
      </c>
      <c r="AO31" s="199">
        <v>1618</v>
      </c>
    </row>
    <row r="32" spans="1:44" ht="15" customHeight="1" x14ac:dyDescent="0.25">
      <c r="A32" s="226" t="s">
        <v>206</v>
      </c>
      <c r="B32" s="197"/>
      <c r="C32" s="197"/>
      <c r="D32" s="197"/>
      <c r="E32" s="197"/>
      <c r="F32" s="198"/>
      <c r="G32" s="197">
        <v>0</v>
      </c>
      <c r="H32" s="197">
        <v>0</v>
      </c>
      <c r="I32" s="197">
        <v>0</v>
      </c>
      <c r="J32" s="197">
        <v>0</v>
      </c>
      <c r="K32" s="198">
        <v>0</v>
      </c>
      <c r="L32" s="197">
        <v>0</v>
      </c>
      <c r="M32" s="197">
        <v>690</v>
      </c>
      <c r="N32" s="197">
        <v>0</v>
      </c>
      <c r="O32" s="197">
        <v>1135</v>
      </c>
      <c r="P32" s="199">
        <v>1825</v>
      </c>
      <c r="Q32" s="197">
        <v>107</v>
      </c>
      <c r="R32" s="197">
        <v>183</v>
      </c>
      <c r="S32" s="197">
        <v>0</v>
      </c>
      <c r="T32" s="197">
        <v>0</v>
      </c>
      <c r="U32" s="196">
        <f>SUM(Q32:T32)</f>
        <v>290</v>
      </c>
      <c r="V32" s="197">
        <v>1890</v>
      </c>
      <c r="W32" s="197">
        <v>175</v>
      </c>
      <c r="X32" s="197">
        <v>131</v>
      </c>
      <c r="Y32" s="197">
        <v>6614</v>
      </c>
      <c r="Z32" s="199">
        <v>8810</v>
      </c>
      <c r="AA32" s="197">
        <v>1021</v>
      </c>
      <c r="AB32" s="197">
        <v>415</v>
      </c>
      <c r="AC32" s="197">
        <v>5357</v>
      </c>
      <c r="AD32" s="197">
        <v>2605</v>
      </c>
      <c r="AE32" s="199">
        <v>9398</v>
      </c>
      <c r="AF32" s="197">
        <v>7367</v>
      </c>
      <c r="AG32" s="197">
        <v>1551</v>
      </c>
      <c r="AH32" s="197">
        <v>-106</v>
      </c>
      <c r="AI32" s="197">
        <v>568</v>
      </c>
      <c r="AJ32" s="199">
        <v>9380</v>
      </c>
      <c r="AK32" s="197">
        <v>456</v>
      </c>
      <c r="AL32" s="197">
        <v>4076</v>
      </c>
      <c r="AM32" s="197">
        <v>-624</v>
      </c>
      <c r="AN32" s="197">
        <v>408</v>
      </c>
      <c r="AO32" s="199">
        <v>4316</v>
      </c>
    </row>
    <row r="33" spans="1:41" ht="15" customHeight="1" x14ac:dyDescent="0.25">
      <c r="A33" s="226" t="s">
        <v>207</v>
      </c>
      <c r="B33" s="231"/>
      <c r="C33" s="231"/>
      <c r="D33" s="231"/>
      <c r="E33" s="231"/>
      <c r="F33" s="232"/>
      <c r="G33" s="231">
        <v>0</v>
      </c>
      <c r="H33" s="231">
        <v>0</v>
      </c>
      <c r="I33" s="231">
        <v>0</v>
      </c>
      <c r="J33" s="231">
        <v>0</v>
      </c>
      <c r="K33" s="232">
        <v>0</v>
      </c>
      <c r="L33" s="231">
        <v>0</v>
      </c>
      <c r="M33" s="231">
        <v>112</v>
      </c>
      <c r="N33" s="231">
        <v>0</v>
      </c>
      <c r="O33" s="231">
        <v>11</v>
      </c>
      <c r="P33" s="233">
        <v>123</v>
      </c>
      <c r="Q33" s="231">
        <v>-11</v>
      </c>
      <c r="R33" s="231">
        <v>0</v>
      </c>
      <c r="S33" s="231">
        <v>0</v>
      </c>
      <c r="T33" s="231">
        <v>0</v>
      </c>
      <c r="U33" s="196">
        <f>SUM(Q33:T33)</f>
        <v>-11</v>
      </c>
      <c r="V33" s="231">
        <v>0</v>
      </c>
      <c r="W33" s="231">
        <v>429</v>
      </c>
      <c r="X33" s="231">
        <v>0</v>
      </c>
      <c r="Y33" s="231">
        <v>2343</v>
      </c>
      <c r="Z33" s="199">
        <v>2772</v>
      </c>
      <c r="AA33" s="231">
        <v>193</v>
      </c>
      <c r="AB33" s="231">
        <v>288</v>
      </c>
      <c r="AC33" s="231">
        <v>4839</v>
      </c>
      <c r="AD33" s="231">
        <v>1031</v>
      </c>
      <c r="AE33" s="199">
        <v>6351</v>
      </c>
      <c r="AF33" s="231">
        <v>2833</v>
      </c>
      <c r="AG33" s="231">
        <v>3614</v>
      </c>
      <c r="AH33" s="231">
        <v>-632</v>
      </c>
      <c r="AI33" s="231">
        <v>752</v>
      </c>
      <c r="AJ33" s="199">
        <v>6567</v>
      </c>
      <c r="AK33" s="231">
        <v>245</v>
      </c>
      <c r="AL33" s="231">
        <v>820</v>
      </c>
      <c r="AM33" s="231">
        <v>596</v>
      </c>
      <c r="AN33" s="231">
        <v>3082</v>
      </c>
      <c r="AO33" s="199">
        <v>4743</v>
      </c>
    </row>
    <row r="34" spans="1:41" ht="15" customHeight="1" x14ac:dyDescent="0.25">
      <c r="A34" s="151" t="s">
        <v>210</v>
      </c>
      <c r="B34" s="223">
        <f t="shared" ref="B34:K34" si="40">SUM(B6,B7,B8,B12,B16,B21,B24,B29)</f>
        <v>18189</v>
      </c>
      <c r="C34" s="223">
        <f t="shared" si="40"/>
        <v>19739</v>
      </c>
      <c r="D34" s="223">
        <f t="shared" si="40"/>
        <v>28694</v>
      </c>
      <c r="E34" s="223">
        <f t="shared" si="40"/>
        <v>14539</v>
      </c>
      <c r="F34" s="224">
        <f t="shared" si="40"/>
        <v>81159</v>
      </c>
      <c r="G34" s="223">
        <f t="shared" si="40"/>
        <v>30316</v>
      </c>
      <c r="H34" s="223">
        <f t="shared" si="40"/>
        <v>25862</v>
      </c>
      <c r="I34" s="223">
        <f t="shared" si="40"/>
        <v>38808</v>
      </c>
      <c r="J34" s="223">
        <f t="shared" si="40"/>
        <v>42255</v>
      </c>
      <c r="K34" s="224">
        <f t="shared" si="40"/>
        <v>137243</v>
      </c>
      <c r="L34" s="223">
        <f>SUM(L6,L7,L8,L12,L16,L21,L24,L29)-1</f>
        <v>41936</v>
      </c>
      <c r="M34" s="223">
        <f t="shared" ref="M34:AK34" si="41">SUM(M6,M7,M8,M12,M16,M21,M24,M29)</f>
        <v>46581</v>
      </c>
      <c r="N34" s="223">
        <f t="shared" si="41"/>
        <v>56847</v>
      </c>
      <c r="O34" s="223">
        <f t="shared" si="41"/>
        <v>67560</v>
      </c>
      <c r="P34" s="225">
        <f t="shared" si="41"/>
        <v>212925</v>
      </c>
      <c r="Q34" s="223">
        <f t="shared" si="41"/>
        <v>56842</v>
      </c>
      <c r="R34" s="223">
        <f t="shared" si="41"/>
        <v>54067</v>
      </c>
      <c r="S34" s="223">
        <f t="shared" si="41"/>
        <v>51643</v>
      </c>
      <c r="T34" s="223">
        <f t="shared" si="41"/>
        <v>62628</v>
      </c>
      <c r="U34" s="225">
        <f t="shared" si="41"/>
        <v>225180</v>
      </c>
      <c r="V34" s="223">
        <f t="shared" si="41"/>
        <v>47454</v>
      </c>
      <c r="W34" s="223">
        <f t="shared" si="41"/>
        <v>43862</v>
      </c>
      <c r="X34" s="223">
        <f t="shared" si="41"/>
        <v>43662</v>
      </c>
      <c r="Y34" s="223">
        <f t="shared" si="41"/>
        <v>68025</v>
      </c>
      <c r="Z34" s="225">
        <f t="shared" si="41"/>
        <v>203003</v>
      </c>
      <c r="AA34" s="223">
        <f t="shared" si="41"/>
        <v>42762</v>
      </c>
      <c r="AB34" s="223">
        <f t="shared" si="41"/>
        <v>32761</v>
      </c>
      <c r="AC34" s="223">
        <f t="shared" si="41"/>
        <v>44178</v>
      </c>
      <c r="AD34" s="223">
        <f t="shared" si="41"/>
        <v>56605</v>
      </c>
      <c r="AE34" s="225">
        <f t="shared" si="41"/>
        <v>176306</v>
      </c>
      <c r="AF34" s="223">
        <f t="shared" si="41"/>
        <v>52479</v>
      </c>
      <c r="AG34" s="223">
        <f t="shared" si="41"/>
        <v>52240</v>
      </c>
      <c r="AH34" s="223">
        <f t="shared" si="41"/>
        <v>44200</v>
      </c>
      <c r="AI34" s="223">
        <f t="shared" si="41"/>
        <v>35929</v>
      </c>
      <c r="AJ34" s="225">
        <f>SUM(AJ6,AJ7,AJ8,AJ12,AJ16,AJ21,AJ24,AJ29)</f>
        <v>184848</v>
      </c>
      <c r="AK34" s="223">
        <f t="shared" si="41"/>
        <v>41547</v>
      </c>
      <c r="AL34" s="223">
        <f>SUM(AL6,AL7,AL8,AL12,AL16,AL21,AL24,AL27,AL29)</f>
        <v>82966</v>
      </c>
      <c r="AM34" s="223">
        <f>SUM(AM6,AM7,AM8,AM12,AM16,AM21,AM27,AM29)</f>
        <v>43655</v>
      </c>
      <c r="AN34" s="223">
        <f>SUM(AN6,AN7,AN8,AN12,AN16,AN21,AN24,AN29,AN27)</f>
        <v>88256</v>
      </c>
      <c r="AO34" s="225">
        <f>SUM(AO6,AO7,AO8,AO12,AO16,AO21,AO24,AO29,AO27)</f>
        <v>256424</v>
      </c>
    </row>
    <row r="35" spans="1:41" ht="15" customHeight="1" x14ac:dyDescent="0.25">
      <c r="A35" s="154" t="s">
        <v>211</v>
      </c>
      <c r="B35" s="203">
        <f t="shared" ref="B35:AM35" si="42">SUM(B4,B34)</f>
        <v>31806</v>
      </c>
      <c r="C35" s="203">
        <f t="shared" si="42"/>
        <v>23668</v>
      </c>
      <c r="D35" s="203">
        <f t="shared" si="42"/>
        <v>34487</v>
      </c>
      <c r="E35" s="203">
        <f t="shared" si="42"/>
        <v>53477</v>
      </c>
      <c r="F35" s="204">
        <f t="shared" si="42"/>
        <v>143435</v>
      </c>
      <c r="G35" s="203">
        <f t="shared" si="42"/>
        <v>48843</v>
      </c>
      <c r="H35" s="203">
        <f t="shared" si="42"/>
        <v>39201</v>
      </c>
      <c r="I35" s="203">
        <f t="shared" si="42"/>
        <v>53532</v>
      </c>
      <c r="J35" s="203">
        <f t="shared" si="42"/>
        <v>82995</v>
      </c>
      <c r="K35" s="204">
        <f t="shared" si="42"/>
        <v>224572</v>
      </c>
      <c r="L35" s="203">
        <f t="shared" si="42"/>
        <v>56454</v>
      </c>
      <c r="M35" s="203">
        <f t="shared" si="42"/>
        <v>54086</v>
      </c>
      <c r="N35" s="203">
        <f t="shared" si="42"/>
        <v>79116</v>
      </c>
      <c r="O35" s="203">
        <f t="shared" si="42"/>
        <v>119928</v>
      </c>
      <c r="P35" s="205">
        <f t="shared" si="42"/>
        <v>309584</v>
      </c>
      <c r="Q35" s="203">
        <f t="shared" si="42"/>
        <v>77932</v>
      </c>
      <c r="R35" s="203">
        <f t="shared" si="42"/>
        <v>68774</v>
      </c>
      <c r="S35" s="203">
        <f t="shared" si="42"/>
        <v>69591</v>
      </c>
      <c r="T35" s="203">
        <f t="shared" si="42"/>
        <v>104762</v>
      </c>
      <c r="U35" s="205">
        <f t="shared" si="42"/>
        <v>321059</v>
      </c>
      <c r="V35" s="203">
        <f t="shared" si="42"/>
        <v>68855</v>
      </c>
      <c r="W35" s="203">
        <f t="shared" si="42"/>
        <v>56399</v>
      </c>
      <c r="X35" s="203">
        <f t="shared" si="42"/>
        <v>64219</v>
      </c>
      <c r="Y35" s="203">
        <f t="shared" si="42"/>
        <v>109499</v>
      </c>
      <c r="Z35" s="205">
        <f t="shared" si="42"/>
        <v>298972</v>
      </c>
      <c r="AA35" s="203">
        <f t="shared" si="42"/>
        <v>59190</v>
      </c>
      <c r="AB35" s="203">
        <f t="shared" si="42"/>
        <v>38911</v>
      </c>
      <c r="AC35" s="203">
        <f t="shared" si="42"/>
        <v>49471</v>
      </c>
      <c r="AD35" s="203">
        <f t="shared" si="42"/>
        <v>103423</v>
      </c>
      <c r="AE35" s="205">
        <f t="shared" si="42"/>
        <v>250995</v>
      </c>
      <c r="AF35" s="203">
        <f t="shared" si="42"/>
        <v>75929</v>
      </c>
      <c r="AG35" s="203">
        <f t="shared" si="42"/>
        <v>67269</v>
      </c>
      <c r="AH35" s="203">
        <f t="shared" si="42"/>
        <v>68430</v>
      </c>
      <c r="AI35" s="203">
        <f t="shared" si="42"/>
        <v>110867</v>
      </c>
      <c r="AJ35" s="205">
        <f t="shared" si="42"/>
        <v>322495</v>
      </c>
      <c r="AK35" s="203">
        <f t="shared" si="42"/>
        <v>62825</v>
      </c>
      <c r="AL35" s="203">
        <f t="shared" si="42"/>
        <v>49993</v>
      </c>
      <c r="AM35" s="203">
        <f t="shared" si="42"/>
        <v>50176</v>
      </c>
      <c r="AN35" s="203">
        <f t="shared" ref="AN35:AO35" si="43">SUM(AN4,AN34)</f>
        <v>104305</v>
      </c>
      <c r="AO35" s="205">
        <f t="shared" si="43"/>
        <v>267299</v>
      </c>
    </row>
    <row r="36" spans="1:41" ht="15" customHeight="1" x14ac:dyDescent="0.25">
      <c r="F36" s="206"/>
      <c r="K36" s="206"/>
      <c r="P36" s="207"/>
      <c r="U36" s="207"/>
      <c r="Z36" s="207"/>
      <c r="AE36" s="207"/>
      <c r="AJ36" s="207"/>
      <c r="AO36" s="207"/>
    </row>
    <row r="37" spans="1:41" ht="199.5" customHeight="1" x14ac:dyDescent="0.25">
      <c r="A37" s="281" t="s">
        <v>212</v>
      </c>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150"/>
      <c r="AI37" s="150"/>
      <c r="AJ37" s="150"/>
      <c r="AK37" s="150"/>
      <c r="AL37" s="150"/>
      <c r="AM37" s="150"/>
      <c r="AN37" s="150"/>
      <c r="AO37" s="150"/>
    </row>
    <row r="38" spans="1:41" ht="15" customHeight="1" x14ac:dyDescent="0.25"/>
    <row r="39" spans="1:41" ht="15" customHeight="1" x14ac:dyDescent="0.25"/>
    <row r="40" spans="1:41" ht="15" customHeight="1" x14ac:dyDescent="0.25">
      <c r="K40" s="244"/>
      <c r="P40" s="244"/>
      <c r="U40" s="244"/>
      <c r="Z40" s="244"/>
      <c r="AE40" s="244"/>
      <c r="AJ40" s="244"/>
      <c r="AO40" s="244"/>
    </row>
    <row r="41" spans="1:41" ht="15" customHeight="1" x14ac:dyDescent="0.25"/>
    <row r="42" spans="1:41" ht="15" customHeight="1" x14ac:dyDescent="0.25"/>
    <row r="43" spans="1:41" ht="15" customHeight="1" x14ac:dyDescent="0.25"/>
    <row r="44" spans="1:41" ht="15" customHeight="1" x14ac:dyDescent="0.25"/>
    <row r="45" spans="1:41" ht="15" customHeight="1" x14ac:dyDescent="0.25"/>
    <row r="46" spans="1:41" ht="15" customHeight="1" x14ac:dyDescent="0.25"/>
    <row r="47" spans="1:41" ht="15" customHeight="1" x14ac:dyDescent="0.25"/>
    <row r="48" spans="1:4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mergeCells count="1">
    <mergeCell ref="A37:AG37"/>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P97"/>
  <sheetViews>
    <sheetView showGridLines="0" zoomScale="84" zoomScaleNormal="84" workbookViewId="0">
      <pane xSplit="11" topLeftCell="AJ1" activePane="topRight" state="frozen"/>
      <selection pane="topRight" activeCell="AT49" sqref="AT49"/>
    </sheetView>
  </sheetViews>
  <sheetFormatPr defaultColWidth="12.6640625" defaultRowHeight="13.2" outlineLevelCol="1" x14ac:dyDescent="0.25"/>
  <cols>
    <col min="1" max="1" width="58.6640625" style="2" customWidth="1"/>
    <col min="2" max="11" width="12.6640625" style="2" hidden="1" customWidth="1" outlineLevel="1"/>
    <col min="12" max="12" width="12.6640625" style="2" hidden="1" customWidth="1" outlineLevel="1" collapsed="1"/>
    <col min="13" max="13" width="12.6640625" style="2" hidden="1" customWidth="1" outlineLevel="1"/>
    <col min="14" max="14" width="12.6640625" style="2" hidden="1" customWidth="1" outlineLevel="1" collapsed="1"/>
    <col min="15" max="18" width="12.6640625" style="2" hidden="1" customWidth="1" outlineLevel="1"/>
    <col min="19" max="19" width="0" style="2" hidden="1" customWidth="1" outlineLevel="1"/>
    <col min="20" max="20" width="0" style="2" hidden="1" customWidth="1" collapsed="1"/>
    <col min="21" max="28" width="0" style="2" hidden="1" customWidth="1"/>
    <col min="29" max="41" width="12.6640625" style="2"/>
    <col min="42" max="42" width="4.33203125" style="161" customWidth="1"/>
    <col min="43" max="16384" width="12.6640625" style="2"/>
  </cols>
  <sheetData>
    <row r="1" spans="1:41" x14ac:dyDescent="0.25">
      <c r="A1" s="1" t="s">
        <v>213</v>
      </c>
    </row>
    <row r="2" spans="1:41" x14ac:dyDescent="0.25">
      <c r="A2" s="5" t="s">
        <v>4</v>
      </c>
    </row>
    <row r="3" spans="1:41" ht="14.1" customHeight="1" x14ac:dyDescent="0.25">
      <c r="B3" s="14" t="s">
        <v>61</v>
      </c>
      <c r="C3" s="14" t="s">
        <v>62</v>
      </c>
      <c r="D3" s="14" t="s">
        <v>63</v>
      </c>
      <c r="E3" s="14" t="s">
        <v>64</v>
      </c>
      <c r="F3" s="15" t="s">
        <v>65</v>
      </c>
      <c r="G3" s="14" t="s">
        <v>66</v>
      </c>
      <c r="H3" s="14" t="s">
        <v>67</v>
      </c>
      <c r="I3" s="14" t="s">
        <v>68</v>
      </c>
      <c r="J3" s="14" t="s">
        <v>69</v>
      </c>
      <c r="K3" s="15" t="s">
        <v>70</v>
      </c>
      <c r="L3" s="14" t="s">
        <v>71</v>
      </c>
      <c r="M3" s="14" t="s">
        <v>72</v>
      </c>
      <c r="N3" s="14" t="s">
        <v>73</v>
      </c>
      <c r="O3" s="14" t="s">
        <v>74</v>
      </c>
      <c r="P3" s="115" t="s">
        <v>75</v>
      </c>
      <c r="Q3" s="14" t="s">
        <v>76</v>
      </c>
      <c r="R3" s="14" t="s">
        <v>77</v>
      </c>
      <c r="S3" s="14" t="s">
        <v>78</v>
      </c>
      <c r="T3" s="14" t="s">
        <v>79</v>
      </c>
      <c r="U3" s="115" t="s">
        <v>80</v>
      </c>
      <c r="V3" s="14" t="s">
        <v>81</v>
      </c>
      <c r="W3" s="14" t="s">
        <v>82</v>
      </c>
      <c r="X3" s="14" t="s">
        <v>83</v>
      </c>
      <c r="Y3" s="14" t="s">
        <v>84</v>
      </c>
      <c r="Z3" s="115" t="s">
        <v>85</v>
      </c>
      <c r="AA3" s="14" t="s">
        <v>86</v>
      </c>
      <c r="AB3" s="14" t="s">
        <v>87</v>
      </c>
      <c r="AC3" s="14" t="s">
        <v>88</v>
      </c>
      <c r="AD3" s="14" t="s">
        <v>89</v>
      </c>
      <c r="AE3" s="115" t="s">
        <v>90</v>
      </c>
      <c r="AF3" s="14" t="s">
        <v>91</v>
      </c>
      <c r="AG3" s="14" t="s">
        <v>92</v>
      </c>
      <c r="AH3" s="14" t="s">
        <v>93</v>
      </c>
      <c r="AI3" s="14" t="s">
        <v>94</v>
      </c>
      <c r="AJ3" s="115" t="s">
        <v>95</v>
      </c>
      <c r="AK3" s="14" t="s">
        <v>96</v>
      </c>
      <c r="AL3" s="14" t="s">
        <v>97</v>
      </c>
      <c r="AM3" s="14" t="s">
        <v>98</v>
      </c>
      <c r="AN3" s="14" t="s">
        <v>99</v>
      </c>
      <c r="AO3" s="115" t="s">
        <v>100</v>
      </c>
    </row>
    <row r="4" spans="1:41" ht="14.1" customHeight="1" x14ac:dyDescent="0.25">
      <c r="A4" s="18" t="s">
        <v>187</v>
      </c>
      <c r="B4" s="19"/>
      <c r="C4" s="19"/>
      <c r="D4" s="19"/>
      <c r="E4" s="19"/>
      <c r="F4" s="20"/>
      <c r="G4" s="19"/>
      <c r="H4" s="19"/>
      <c r="I4" s="19"/>
      <c r="J4" s="19"/>
      <c r="K4" s="20"/>
      <c r="L4" s="19"/>
      <c r="M4" s="3"/>
      <c r="N4" s="3"/>
      <c r="O4" s="3"/>
      <c r="P4" s="102"/>
      <c r="S4" s="3"/>
      <c r="T4" s="3"/>
      <c r="U4" s="102"/>
      <c r="X4" s="3"/>
      <c r="Y4" s="3"/>
      <c r="Z4" s="102"/>
      <c r="AC4" s="3"/>
      <c r="AD4" s="3"/>
      <c r="AE4" s="102"/>
      <c r="AH4" s="3"/>
      <c r="AI4" s="3"/>
      <c r="AJ4" s="102"/>
      <c r="AK4" s="3"/>
      <c r="AM4" s="3"/>
      <c r="AN4" s="3"/>
      <c r="AO4" s="102"/>
    </row>
    <row r="5" spans="1:41" ht="15" customHeight="1" x14ac:dyDescent="0.25">
      <c r="A5" s="21" t="s">
        <v>205</v>
      </c>
      <c r="B5" s="36">
        <f>'Reconciliation Adj EBITDA'!B9</f>
        <v>1478</v>
      </c>
      <c r="C5" s="36">
        <f>'Reconciliation Adj EBITDA'!C9</f>
        <v>1162</v>
      </c>
      <c r="D5" s="36">
        <f>'Reconciliation Adj EBITDA'!D9</f>
        <v>1714</v>
      </c>
      <c r="E5" s="36">
        <f>'Reconciliation Adj EBITDA'!E9</f>
        <v>2167</v>
      </c>
      <c r="F5" s="47">
        <f>'Reconciliation Adj EBITDA'!F9</f>
        <v>6520</v>
      </c>
      <c r="G5" s="36">
        <f>'Reconciliation Adj EBITDA'!G9</f>
        <v>2402</v>
      </c>
      <c r="H5" s="36">
        <f>'Reconciliation Adj EBITDA'!H9</f>
        <v>2179</v>
      </c>
      <c r="I5" s="36">
        <f>'Reconciliation Adj EBITDA'!I9</f>
        <v>4667</v>
      </c>
      <c r="J5" s="36">
        <f>'Reconciliation Adj EBITDA'!J9</f>
        <v>2860</v>
      </c>
      <c r="K5" s="47">
        <f>'Reconciliation Adj EBITDA'!K9</f>
        <v>12108</v>
      </c>
      <c r="L5" s="36">
        <f>'Reconciliation Adj EBITDA'!L9</f>
        <v>3916</v>
      </c>
      <c r="M5" s="36">
        <f>'Reconciliation Adj EBITDA'!M9</f>
        <v>4461</v>
      </c>
      <c r="N5" s="36">
        <f>'Reconciliation Adj EBITDA'!N9</f>
        <v>6361</v>
      </c>
      <c r="O5" s="36">
        <f>'Reconciliation Adj EBITDA'!O9</f>
        <v>6355</v>
      </c>
      <c r="P5" s="103">
        <f>'Reconciliation Adj EBITDA'!P9</f>
        <v>21093</v>
      </c>
      <c r="Q5" s="36">
        <f>'Reconciliation Adj EBITDA'!Q9</f>
        <v>4555</v>
      </c>
      <c r="R5" s="36">
        <f>'Reconciliation Adj EBITDA'!R9</f>
        <v>6771</v>
      </c>
      <c r="S5" s="36">
        <f>'Reconciliation Adj EBITDA'!S9</f>
        <v>4901</v>
      </c>
      <c r="T5" s="36">
        <f>'Reconciliation Adj EBITDA'!T9</f>
        <v>5005</v>
      </c>
      <c r="U5" s="103">
        <f>'Reconciliation Adj EBITDA'!U9</f>
        <v>21232</v>
      </c>
      <c r="V5" s="36">
        <f>'Reconciliation Adj EBITDA'!V9</f>
        <v>4025</v>
      </c>
      <c r="W5" s="36">
        <f>'Reconciliation Adj EBITDA'!W9</f>
        <v>4203</v>
      </c>
      <c r="X5" s="36">
        <f>'Reconciliation Adj EBITDA'!X9</f>
        <v>3230</v>
      </c>
      <c r="Y5" s="36">
        <f>'Reconciliation Adj EBITDA'!Y9</f>
        <v>3578</v>
      </c>
      <c r="Z5" s="103">
        <f>'Reconciliation Adj EBITDA'!Z9</f>
        <v>15036</v>
      </c>
      <c r="AA5" s="36">
        <f>'Reconciliation Adj EBITDA'!AA9</f>
        <v>2370</v>
      </c>
      <c r="AB5" s="36">
        <f>'Reconciliation Adj EBITDA'!AB9</f>
        <v>2068</v>
      </c>
      <c r="AC5" s="36">
        <f>'Reconciliation Adj EBITDA'!AC9</f>
        <v>3333</v>
      </c>
      <c r="AD5" s="36">
        <f>'Reconciliation Adj EBITDA'!AD9</f>
        <v>2482</v>
      </c>
      <c r="AE5" s="103">
        <f>'Reconciliation Adj EBITDA'!AE9</f>
        <v>10253</v>
      </c>
      <c r="AF5" s="36">
        <f>'Reconciliation Adj EBITDA'!AF9</f>
        <v>2496</v>
      </c>
      <c r="AG5" s="36">
        <f>'Reconciliation Adj EBITDA'!AG9</f>
        <v>4218</v>
      </c>
      <c r="AH5" s="36">
        <f>'Reconciliation Adj EBITDA'!AH9</f>
        <v>4858</v>
      </c>
      <c r="AI5" s="36">
        <f>'Reconciliation Adj EBITDA'!AI9</f>
        <v>4762</v>
      </c>
      <c r="AJ5" s="103">
        <f>'Reconciliation Adj EBITDA'!AJ9</f>
        <v>16334</v>
      </c>
      <c r="AK5" s="36">
        <f>'Reconciliation Adj EBITDA'!AK9</f>
        <v>3967</v>
      </c>
      <c r="AL5" s="36">
        <f>'Reconciliation Adj EBITDA'!AL9</f>
        <v>5578</v>
      </c>
      <c r="AM5" s="36">
        <f>'Reconciliation Adj EBITDA'!AM9</f>
        <v>11621</v>
      </c>
      <c r="AN5" s="36">
        <f>'Reconciliation Adj EBITDA'!AN9</f>
        <v>15348</v>
      </c>
      <c r="AO5" s="103">
        <f>'Reconciliation Adj EBITDA'!AO9</f>
        <v>36514</v>
      </c>
    </row>
    <row r="6" spans="1:41" ht="15" customHeight="1" x14ac:dyDescent="0.25">
      <c r="A6" s="21" t="s">
        <v>206</v>
      </c>
      <c r="B6" s="38">
        <f>'Reconciliation Adj EBITDA'!B10</f>
        <v>3454</v>
      </c>
      <c r="C6" s="38">
        <f>'Reconciliation Adj EBITDA'!C10</f>
        <v>2903</v>
      </c>
      <c r="D6" s="38">
        <f>'Reconciliation Adj EBITDA'!D10</f>
        <v>1715</v>
      </c>
      <c r="E6" s="38">
        <f>'Reconciliation Adj EBITDA'!E10</f>
        <v>3606</v>
      </c>
      <c r="F6" s="49">
        <f>'Reconciliation Adj EBITDA'!F10</f>
        <v>11678</v>
      </c>
      <c r="G6" s="38">
        <f>'Reconciliation Adj EBITDA'!G10</f>
        <v>3390</v>
      </c>
      <c r="H6" s="38">
        <f>'Reconciliation Adj EBITDA'!H10</f>
        <v>2488</v>
      </c>
      <c r="I6" s="38">
        <f>'Reconciliation Adj EBITDA'!I10</f>
        <v>5143</v>
      </c>
      <c r="J6" s="38">
        <f>'Reconciliation Adj EBITDA'!J10</f>
        <v>5816</v>
      </c>
      <c r="K6" s="49">
        <f>'Reconciliation Adj EBITDA'!K10</f>
        <v>16838</v>
      </c>
      <c r="L6" s="38">
        <f>'Reconciliation Adj EBITDA'!L10</f>
        <v>6710</v>
      </c>
      <c r="M6" s="38">
        <f>'Reconciliation Adj EBITDA'!M10</f>
        <v>6401</v>
      </c>
      <c r="N6" s="38">
        <f>'Reconciliation Adj EBITDA'!N10</f>
        <v>9897</v>
      </c>
      <c r="O6" s="38">
        <f>'Reconciliation Adj EBITDA'!O10</f>
        <v>8377</v>
      </c>
      <c r="P6" s="105">
        <f>'Reconciliation Adj EBITDA'!P10</f>
        <v>31386</v>
      </c>
      <c r="Q6" s="38">
        <f>'Reconciliation Adj EBITDA'!Q10</f>
        <v>7832</v>
      </c>
      <c r="R6" s="38">
        <f>'Reconciliation Adj EBITDA'!R10</f>
        <v>8668</v>
      </c>
      <c r="S6" s="38">
        <f>'Reconciliation Adj EBITDA'!S10</f>
        <v>6952</v>
      </c>
      <c r="T6" s="38">
        <f>'Reconciliation Adj EBITDA'!T10</f>
        <v>5793</v>
      </c>
      <c r="U6" s="105">
        <f>'Reconciliation Adj EBITDA'!U10</f>
        <v>29244</v>
      </c>
      <c r="V6" s="38">
        <f>'Reconciliation Adj EBITDA'!V10</f>
        <v>6201</v>
      </c>
      <c r="W6" s="38">
        <f>'Reconciliation Adj EBITDA'!W10</f>
        <v>5693</v>
      </c>
      <c r="X6" s="38">
        <f>'Reconciliation Adj EBITDA'!X10</f>
        <v>4398</v>
      </c>
      <c r="Y6" s="38">
        <f>'Reconciliation Adj EBITDA'!Y10</f>
        <v>3009</v>
      </c>
      <c r="Z6" s="105">
        <f>'Reconciliation Adj EBITDA'!Z10</f>
        <v>19301</v>
      </c>
      <c r="AA6" s="38">
        <f>'Reconciliation Adj EBITDA'!AA10</f>
        <v>3618</v>
      </c>
      <c r="AB6" s="38">
        <f>'Reconciliation Adj EBITDA'!AB10</f>
        <v>1572</v>
      </c>
      <c r="AC6" s="38">
        <f>'Reconciliation Adj EBITDA'!AC10</f>
        <v>3190</v>
      </c>
      <c r="AD6" s="38">
        <f>'Reconciliation Adj EBITDA'!AD10</f>
        <v>3662</v>
      </c>
      <c r="AE6" s="105">
        <f>'Reconciliation Adj EBITDA'!AE10</f>
        <v>12042</v>
      </c>
      <c r="AF6" s="38">
        <f>'Reconciliation Adj EBITDA'!AF10</f>
        <v>2369</v>
      </c>
      <c r="AG6" s="38">
        <f>'Reconciliation Adj EBITDA'!AG10</f>
        <v>3636</v>
      </c>
      <c r="AH6" s="38">
        <f>'Reconciliation Adj EBITDA'!AH10</f>
        <v>3875</v>
      </c>
      <c r="AI6" s="38">
        <f>'Reconciliation Adj EBITDA'!AI10</f>
        <v>3143</v>
      </c>
      <c r="AJ6" s="105">
        <f>'Reconciliation Adj EBITDA'!AJ10</f>
        <v>13023</v>
      </c>
      <c r="AK6" s="38">
        <f>'Reconciliation Adj EBITDA'!AK10</f>
        <v>2568</v>
      </c>
      <c r="AL6" s="38">
        <f>'Reconciliation Adj EBITDA'!AL10</f>
        <v>2550</v>
      </c>
      <c r="AM6" s="38">
        <f>'Reconciliation Adj EBITDA'!AM10</f>
        <v>4577</v>
      </c>
      <c r="AN6" s="38">
        <f>'Reconciliation Adj EBITDA'!AN10</f>
        <v>4505</v>
      </c>
      <c r="AO6" s="105">
        <f>'Reconciliation Adj EBITDA'!AO10</f>
        <v>14200</v>
      </c>
    </row>
    <row r="7" spans="1:41" ht="15" customHeight="1" x14ac:dyDescent="0.25">
      <c r="A7" s="21" t="s">
        <v>207</v>
      </c>
      <c r="B7" s="66">
        <f>'Reconciliation Adj EBITDA'!B11</f>
        <v>1385</v>
      </c>
      <c r="C7" s="66">
        <f>'Reconciliation Adj EBITDA'!C11</f>
        <v>1260</v>
      </c>
      <c r="D7" s="66">
        <f>'Reconciliation Adj EBITDA'!D11</f>
        <v>1171</v>
      </c>
      <c r="E7" s="66">
        <f>'Reconciliation Adj EBITDA'!E11</f>
        <v>1975</v>
      </c>
      <c r="F7" s="65">
        <f>'Reconciliation Adj EBITDA'!F11</f>
        <v>5791</v>
      </c>
      <c r="G7" s="66">
        <f>'Reconciliation Adj EBITDA'!G11</f>
        <v>2578</v>
      </c>
      <c r="H7" s="66">
        <f>'Reconciliation Adj EBITDA'!H11</f>
        <v>3028</v>
      </c>
      <c r="I7" s="66">
        <f>'Reconciliation Adj EBITDA'!I11</f>
        <v>4155</v>
      </c>
      <c r="J7" s="66">
        <f>'Reconciliation Adj EBITDA'!J11</f>
        <v>4553</v>
      </c>
      <c r="K7" s="65">
        <f>'Reconciliation Adj EBITDA'!K11</f>
        <v>14313</v>
      </c>
      <c r="L7" s="66">
        <f>'Reconciliation Adj EBITDA'!L11</f>
        <v>4314</v>
      </c>
      <c r="M7" s="38">
        <f>'Reconciliation Adj EBITDA'!M11</f>
        <v>4056</v>
      </c>
      <c r="N7" s="38">
        <f>'Reconciliation Adj EBITDA'!N11</f>
        <v>5770</v>
      </c>
      <c r="O7" s="38">
        <f>'Reconciliation Adj EBITDA'!O11</f>
        <v>5732</v>
      </c>
      <c r="P7" s="105">
        <f>'Reconciliation Adj EBITDA'!P11</f>
        <v>19872</v>
      </c>
      <c r="Q7" s="38">
        <f>'Reconciliation Adj EBITDA'!Q11</f>
        <v>6916</v>
      </c>
      <c r="R7" s="38">
        <f>'Reconciliation Adj EBITDA'!R11</f>
        <v>4806</v>
      </c>
      <c r="S7" s="38">
        <f>'Reconciliation Adj EBITDA'!S11</f>
        <v>5408</v>
      </c>
      <c r="T7" s="38">
        <f>'Reconciliation Adj EBITDA'!T11</f>
        <v>-531</v>
      </c>
      <c r="U7" s="105">
        <f>'Reconciliation Adj EBITDA'!U11</f>
        <v>16600</v>
      </c>
      <c r="V7" s="38">
        <f>'Reconciliation Adj EBITDA'!V11</f>
        <v>3656</v>
      </c>
      <c r="W7" s="38">
        <f>'Reconciliation Adj EBITDA'!W11</f>
        <v>4495</v>
      </c>
      <c r="X7" s="38">
        <f>'Reconciliation Adj EBITDA'!X11</f>
        <v>4142</v>
      </c>
      <c r="Y7" s="38">
        <f>'Reconciliation Adj EBITDA'!Y11</f>
        <v>2502</v>
      </c>
      <c r="Z7" s="105">
        <f>'Reconciliation Adj EBITDA'!Z11</f>
        <v>14795</v>
      </c>
      <c r="AA7" s="38">
        <f>'Reconciliation Adj EBITDA'!AA11</f>
        <v>2515</v>
      </c>
      <c r="AB7" s="38">
        <f>'Reconciliation Adj EBITDA'!AB11</f>
        <v>3519</v>
      </c>
      <c r="AC7" s="38">
        <f>'Reconciliation Adj EBITDA'!AC11</f>
        <v>280</v>
      </c>
      <c r="AD7" s="38">
        <f>'Reconciliation Adj EBITDA'!AD11</f>
        <v>2816</v>
      </c>
      <c r="AE7" s="105">
        <f>'Reconciliation Adj EBITDA'!AE11</f>
        <v>9130</v>
      </c>
      <c r="AF7" s="38">
        <f>'Reconciliation Adj EBITDA'!AF11</f>
        <v>3017</v>
      </c>
      <c r="AG7" s="38">
        <f>'Reconciliation Adj EBITDA'!AG11</f>
        <v>3815</v>
      </c>
      <c r="AH7" s="38">
        <f>'Reconciliation Adj EBITDA'!AH11</f>
        <v>4557</v>
      </c>
      <c r="AI7" s="38">
        <f>'Reconciliation Adj EBITDA'!AI11</f>
        <v>4209</v>
      </c>
      <c r="AJ7" s="105">
        <f>'Reconciliation Adj EBITDA'!AJ11</f>
        <v>15598</v>
      </c>
      <c r="AK7" s="38">
        <f>'Reconciliation Adj EBITDA'!AK11</f>
        <v>2955</v>
      </c>
      <c r="AL7" s="38">
        <f>'Reconciliation Adj EBITDA'!AL11</f>
        <v>3892</v>
      </c>
      <c r="AM7" s="38">
        <f>'Reconciliation Adj EBITDA'!AM11</f>
        <v>4886</v>
      </c>
      <c r="AN7" s="38">
        <f>'Reconciliation Adj EBITDA'!AN11</f>
        <v>2588</v>
      </c>
      <c r="AO7" s="105">
        <f>'Reconciliation Adj EBITDA'!AO11</f>
        <v>14321</v>
      </c>
    </row>
    <row r="8" spans="1:41" ht="14.1" customHeight="1" thickBot="1" x14ac:dyDescent="0.3">
      <c r="A8" s="22" t="s">
        <v>214</v>
      </c>
      <c r="B8" s="77">
        <f t="shared" ref="B8:F8" si="0">SUM(B5:B7)</f>
        <v>6317</v>
      </c>
      <c r="C8" s="77">
        <f t="shared" si="0"/>
        <v>5325</v>
      </c>
      <c r="D8" s="77">
        <f t="shared" si="0"/>
        <v>4600</v>
      </c>
      <c r="E8" s="77">
        <f t="shared" si="0"/>
        <v>7748</v>
      </c>
      <c r="F8" s="81">
        <f t="shared" si="0"/>
        <v>23989</v>
      </c>
      <c r="G8" s="77">
        <f>SUM(G5:G7)</f>
        <v>8370</v>
      </c>
      <c r="H8" s="77">
        <f>SUM(H5:H7)</f>
        <v>7695</v>
      </c>
      <c r="I8" s="77">
        <f>SUM(I5:I7)</f>
        <v>13965</v>
      </c>
      <c r="J8" s="77">
        <f t="shared" ref="J8:P8" si="1">SUM(J5:J7)</f>
        <v>13229</v>
      </c>
      <c r="K8" s="81">
        <f t="shared" si="1"/>
        <v>43259</v>
      </c>
      <c r="L8" s="77">
        <f t="shared" si="1"/>
        <v>14940</v>
      </c>
      <c r="M8" s="77">
        <f>SUM(M5:M7)</f>
        <v>14918</v>
      </c>
      <c r="N8" s="77">
        <f>SUM(N5:N7)</f>
        <v>22028</v>
      </c>
      <c r="O8" s="77">
        <f t="shared" si="1"/>
        <v>20464</v>
      </c>
      <c r="P8" s="145">
        <f t="shared" si="1"/>
        <v>72351</v>
      </c>
      <c r="Q8" s="77">
        <f>SUM(Q5:Q7)</f>
        <v>19303</v>
      </c>
      <c r="R8" s="77">
        <f>SUM(R5:R7)</f>
        <v>20245</v>
      </c>
      <c r="S8" s="77">
        <f>SUM(S5:S7)</f>
        <v>17261</v>
      </c>
      <c r="T8" s="77">
        <f t="shared" ref="T8:U8" si="2">SUM(T5:T7)</f>
        <v>10267</v>
      </c>
      <c r="U8" s="145">
        <f t="shared" si="2"/>
        <v>67076</v>
      </c>
      <c r="V8" s="77">
        <f>SUM(V5:V7)</f>
        <v>13882</v>
      </c>
      <c r="W8" s="77">
        <f>SUM(W5:W7)</f>
        <v>14391</v>
      </c>
      <c r="X8" s="77">
        <f>SUM(X5:X7)</f>
        <v>11770</v>
      </c>
      <c r="Y8" s="77">
        <f t="shared" ref="Y8:Z8" si="3">SUM(Y5:Y7)</f>
        <v>9089</v>
      </c>
      <c r="Z8" s="145">
        <f t="shared" si="3"/>
        <v>49132</v>
      </c>
      <c r="AA8" s="77">
        <f>SUM(AA5:AA7)</f>
        <v>8503</v>
      </c>
      <c r="AB8" s="77">
        <f>SUM(AB5:AB7)</f>
        <v>7159</v>
      </c>
      <c r="AC8" s="77">
        <f>SUM(AC5:AC7)</f>
        <v>6803</v>
      </c>
      <c r="AD8" s="77">
        <f t="shared" ref="AD8:AE8" si="4">SUM(AD5:AD7)</f>
        <v>8960</v>
      </c>
      <c r="AE8" s="145">
        <f t="shared" si="4"/>
        <v>31425</v>
      </c>
      <c r="AF8" s="77">
        <f>SUM(AF5:AF7)</f>
        <v>7882</v>
      </c>
      <c r="AG8" s="77">
        <f>SUM(AG5:AG7)</f>
        <v>11669</v>
      </c>
      <c r="AH8" s="77">
        <f>SUM(AH5:AH7)</f>
        <v>13290</v>
      </c>
      <c r="AI8" s="77">
        <f t="shared" ref="AI8:AJ8" si="5">SUM(AI5:AI7)</f>
        <v>12114</v>
      </c>
      <c r="AJ8" s="145">
        <f t="shared" si="5"/>
        <v>44955</v>
      </c>
      <c r="AK8" s="77">
        <f>SUM(AK5:AK7)</f>
        <v>9490</v>
      </c>
      <c r="AL8" s="77">
        <f>SUM(AL5:AL7)</f>
        <v>12020</v>
      </c>
      <c r="AM8" s="77">
        <f>SUM(AM5:AM7)</f>
        <v>21084</v>
      </c>
      <c r="AN8" s="77">
        <f t="shared" ref="AN8:AO8" si="6">SUM(AN5:AN7)</f>
        <v>22441</v>
      </c>
      <c r="AO8" s="145">
        <f t="shared" si="6"/>
        <v>65035</v>
      </c>
    </row>
    <row r="9" spans="1:41" ht="15" customHeight="1" thickTop="1" x14ac:dyDescent="0.25">
      <c r="F9" s="9"/>
      <c r="K9" s="9"/>
      <c r="P9" s="100"/>
      <c r="U9" s="100"/>
      <c r="Z9" s="100"/>
      <c r="AE9" s="100"/>
      <c r="AJ9" s="100"/>
      <c r="AO9" s="100"/>
    </row>
    <row r="10" spans="1:41" ht="14.1" customHeight="1" x14ac:dyDescent="0.25">
      <c r="A10" s="18" t="s">
        <v>189</v>
      </c>
      <c r="F10" s="9"/>
      <c r="K10" s="9"/>
      <c r="P10" s="100"/>
      <c r="U10" s="100"/>
      <c r="Z10" s="100"/>
      <c r="AE10" s="100"/>
      <c r="AJ10" s="100"/>
      <c r="AO10" s="100"/>
    </row>
    <row r="11" spans="1:41" ht="15" customHeight="1" x14ac:dyDescent="0.25">
      <c r="A11" s="21" t="s">
        <v>205</v>
      </c>
      <c r="B11" s="38">
        <f>'Reconciliation Adj EBITDA'!B13</f>
        <v>42</v>
      </c>
      <c r="C11" s="38">
        <f>'Reconciliation Adj EBITDA'!C13</f>
        <v>40</v>
      </c>
      <c r="D11" s="38">
        <f>'Reconciliation Adj EBITDA'!D13</f>
        <v>41</v>
      </c>
      <c r="E11" s="38">
        <f>'Reconciliation Adj EBITDA'!E13</f>
        <v>40</v>
      </c>
      <c r="F11" s="49">
        <f>'Reconciliation Adj EBITDA'!F13</f>
        <v>163</v>
      </c>
      <c r="G11" s="38">
        <f>'Reconciliation Adj EBITDA'!G13</f>
        <v>52</v>
      </c>
      <c r="H11" s="38">
        <f>'Reconciliation Adj EBITDA'!H13</f>
        <v>53</v>
      </c>
      <c r="I11" s="38">
        <f>'Reconciliation Adj EBITDA'!I13</f>
        <v>55</v>
      </c>
      <c r="J11" s="38">
        <f>'Reconciliation Adj EBITDA'!J13</f>
        <v>52</v>
      </c>
      <c r="K11" s="49">
        <f>'Reconciliation Adj EBITDA'!K13</f>
        <v>211</v>
      </c>
      <c r="L11" s="38">
        <f>'Reconciliation Adj EBITDA'!L13</f>
        <v>146</v>
      </c>
      <c r="M11" s="38">
        <f>'Reconciliation Adj EBITDA'!M13</f>
        <v>151</v>
      </c>
      <c r="N11" s="38">
        <f>'Reconciliation Adj EBITDA'!N13</f>
        <v>161</v>
      </c>
      <c r="O11" s="38">
        <f>'Reconciliation Adj EBITDA'!O13</f>
        <v>162</v>
      </c>
      <c r="P11" s="105">
        <f>'Reconciliation Adj EBITDA'!P13</f>
        <v>621</v>
      </c>
      <c r="Q11" s="38">
        <f>'Reconciliation Adj EBITDA'!Q13</f>
        <v>220</v>
      </c>
      <c r="R11" s="38">
        <f>'Reconciliation Adj EBITDA'!R13</f>
        <v>212</v>
      </c>
      <c r="S11" s="38">
        <f>'Reconciliation Adj EBITDA'!S13</f>
        <v>208</v>
      </c>
      <c r="T11" s="38">
        <f>'Reconciliation Adj EBITDA'!T13</f>
        <v>204</v>
      </c>
      <c r="U11" s="105">
        <f>'Reconciliation Adj EBITDA'!U13</f>
        <v>844</v>
      </c>
      <c r="V11" s="38">
        <f>'Reconciliation Adj EBITDA'!V13</f>
        <v>193</v>
      </c>
      <c r="W11" s="38">
        <f>'Reconciliation Adj EBITDA'!W13</f>
        <v>191</v>
      </c>
      <c r="X11" s="38">
        <f>'Reconciliation Adj EBITDA'!X13</f>
        <v>188</v>
      </c>
      <c r="Y11" s="38">
        <f>'Reconciliation Adj EBITDA'!Y13</f>
        <v>188</v>
      </c>
      <c r="Z11" s="105">
        <f>'Reconciliation Adj EBITDA'!Z13</f>
        <v>760</v>
      </c>
      <c r="AA11" s="38">
        <f>'Reconciliation Adj EBITDA'!AA13</f>
        <v>269</v>
      </c>
      <c r="AB11" s="38">
        <f>'Reconciliation Adj EBITDA'!AB13</f>
        <v>269</v>
      </c>
      <c r="AC11" s="38">
        <f>'Reconciliation Adj EBITDA'!AC13</f>
        <v>286</v>
      </c>
      <c r="AD11" s="38">
        <f>'Reconciliation Adj EBITDA'!AD13</f>
        <v>290</v>
      </c>
      <c r="AE11" s="105">
        <f>'Reconciliation Adj EBITDA'!AE13</f>
        <v>1114</v>
      </c>
      <c r="AF11" s="38">
        <f>'Reconciliation Adj EBITDA'!AF13</f>
        <v>175</v>
      </c>
      <c r="AG11" s="38">
        <f>'Reconciliation Adj EBITDA'!AG13</f>
        <v>175</v>
      </c>
      <c r="AH11" s="38">
        <f>'Reconciliation Adj EBITDA'!AH13</f>
        <v>170</v>
      </c>
      <c r="AI11" s="38">
        <f>'Reconciliation Adj EBITDA'!AI13</f>
        <v>166</v>
      </c>
      <c r="AJ11" s="105">
        <f>'Reconciliation Adj EBITDA'!AJ13</f>
        <v>686</v>
      </c>
      <c r="AK11" s="38">
        <f>'Reconciliation Adj EBITDA'!AK13</f>
        <v>142</v>
      </c>
      <c r="AL11" s="38">
        <f>'Reconciliation Adj EBITDA'!AL13</f>
        <v>136</v>
      </c>
      <c r="AM11" s="38">
        <f>'Reconciliation Adj EBITDA'!AM13</f>
        <v>130</v>
      </c>
      <c r="AN11" s="38">
        <f>'Reconciliation Adj EBITDA'!AN13</f>
        <v>483</v>
      </c>
      <c r="AO11" s="105">
        <f>'Reconciliation Adj EBITDA'!AO13</f>
        <v>891</v>
      </c>
    </row>
    <row r="12" spans="1:41" ht="15" customHeight="1" x14ac:dyDescent="0.25">
      <c r="A12" s="21" t="s">
        <v>206</v>
      </c>
      <c r="B12" s="38">
        <f>'Reconciliation Adj EBITDA'!B14</f>
        <v>39</v>
      </c>
      <c r="C12" s="38">
        <f>'Reconciliation Adj EBITDA'!C14</f>
        <v>39</v>
      </c>
      <c r="D12" s="38">
        <f>'Reconciliation Adj EBITDA'!D14</f>
        <v>37</v>
      </c>
      <c r="E12" s="38">
        <f>'Reconciliation Adj EBITDA'!E14</f>
        <v>38</v>
      </c>
      <c r="F12" s="49">
        <f>'Reconciliation Adj EBITDA'!F14</f>
        <v>153</v>
      </c>
      <c r="G12" s="38">
        <f>'Reconciliation Adj EBITDA'!G14</f>
        <v>34</v>
      </c>
      <c r="H12" s="38">
        <f>'Reconciliation Adj EBITDA'!H14</f>
        <v>35</v>
      </c>
      <c r="I12" s="38">
        <f>'Reconciliation Adj EBITDA'!I14</f>
        <v>38</v>
      </c>
      <c r="J12" s="38">
        <f>'Reconciliation Adj EBITDA'!J14</f>
        <v>37</v>
      </c>
      <c r="K12" s="49">
        <f>'Reconciliation Adj EBITDA'!K14</f>
        <v>144</v>
      </c>
      <c r="L12" s="38">
        <f>'Reconciliation Adj EBITDA'!L14</f>
        <v>59</v>
      </c>
      <c r="M12" s="38">
        <f>'Reconciliation Adj EBITDA'!M14</f>
        <v>60</v>
      </c>
      <c r="N12" s="38">
        <f>'Reconciliation Adj EBITDA'!N14</f>
        <v>65</v>
      </c>
      <c r="O12" s="38">
        <f>'Reconciliation Adj EBITDA'!O14</f>
        <v>63</v>
      </c>
      <c r="P12" s="105">
        <f>'Reconciliation Adj EBITDA'!P14</f>
        <v>247</v>
      </c>
      <c r="Q12" s="38">
        <f>'Reconciliation Adj EBITDA'!Q14</f>
        <v>79</v>
      </c>
      <c r="R12" s="38">
        <f>'Reconciliation Adj EBITDA'!R14</f>
        <v>75</v>
      </c>
      <c r="S12" s="38">
        <f>'Reconciliation Adj EBITDA'!S14</f>
        <v>83</v>
      </c>
      <c r="T12" s="38">
        <f>'Reconciliation Adj EBITDA'!T14</f>
        <v>88</v>
      </c>
      <c r="U12" s="105">
        <f>'Reconciliation Adj EBITDA'!U14</f>
        <v>325</v>
      </c>
      <c r="V12" s="38">
        <f>'Reconciliation Adj EBITDA'!V14</f>
        <v>72</v>
      </c>
      <c r="W12" s="38">
        <f>'Reconciliation Adj EBITDA'!W14</f>
        <v>71</v>
      </c>
      <c r="X12" s="38">
        <f>'Reconciliation Adj EBITDA'!X14</f>
        <v>71</v>
      </c>
      <c r="Y12" s="38">
        <f>'Reconciliation Adj EBITDA'!Y14</f>
        <v>69</v>
      </c>
      <c r="Z12" s="105">
        <f>'Reconciliation Adj EBITDA'!Z14</f>
        <v>283</v>
      </c>
      <c r="AA12" s="38">
        <f>'Reconciliation Adj EBITDA'!AA14</f>
        <v>95</v>
      </c>
      <c r="AB12" s="38">
        <f>'Reconciliation Adj EBITDA'!AB14</f>
        <v>95</v>
      </c>
      <c r="AC12" s="38">
        <f>'Reconciliation Adj EBITDA'!AC14</f>
        <v>101</v>
      </c>
      <c r="AD12" s="38">
        <f>'Reconciliation Adj EBITDA'!AD14</f>
        <v>103</v>
      </c>
      <c r="AE12" s="105">
        <f>'Reconciliation Adj EBITDA'!AE14</f>
        <v>394</v>
      </c>
      <c r="AF12" s="38">
        <f>'Reconciliation Adj EBITDA'!AF14</f>
        <v>53</v>
      </c>
      <c r="AG12" s="38">
        <f>'Reconciliation Adj EBITDA'!AG14</f>
        <v>53</v>
      </c>
      <c r="AH12" s="38">
        <f>'Reconciliation Adj EBITDA'!AH14</f>
        <v>52</v>
      </c>
      <c r="AI12" s="38">
        <f>'Reconciliation Adj EBITDA'!AI14</f>
        <v>49</v>
      </c>
      <c r="AJ12" s="105">
        <f>'Reconciliation Adj EBITDA'!AJ14</f>
        <v>207</v>
      </c>
      <c r="AK12" s="38">
        <f>'Reconciliation Adj EBITDA'!AK14</f>
        <v>40</v>
      </c>
      <c r="AL12" s="38">
        <f>'Reconciliation Adj EBITDA'!AL14</f>
        <v>39</v>
      </c>
      <c r="AM12" s="38">
        <f>'Reconciliation Adj EBITDA'!AM14</f>
        <v>40</v>
      </c>
      <c r="AN12" s="38">
        <f>'Reconciliation Adj EBITDA'!AN14</f>
        <v>220</v>
      </c>
      <c r="AO12" s="105">
        <f>'Reconciliation Adj EBITDA'!AO14</f>
        <v>339</v>
      </c>
    </row>
    <row r="13" spans="1:41" ht="15" customHeight="1" x14ac:dyDescent="0.25">
      <c r="A13" s="21" t="s">
        <v>207</v>
      </c>
      <c r="B13" s="38">
        <f>'Reconciliation Adj EBITDA'!B15</f>
        <v>31</v>
      </c>
      <c r="C13" s="38">
        <f>'Reconciliation Adj EBITDA'!C15</f>
        <v>31</v>
      </c>
      <c r="D13" s="38">
        <f>'Reconciliation Adj EBITDA'!D15</f>
        <v>32</v>
      </c>
      <c r="E13" s="38">
        <f>'Reconciliation Adj EBITDA'!E15</f>
        <v>31</v>
      </c>
      <c r="F13" s="49">
        <f>'Reconciliation Adj EBITDA'!F15</f>
        <v>125</v>
      </c>
      <c r="G13" s="38">
        <f>'Reconciliation Adj EBITDA'!G15</f>
        <v>43</v>
      </c>
      <c r="H13" s="38">
        <f>'Reconciliation Adj EBITDA'!H15</f>
        <v>43</v>
      </c>
      <c r="I13" s="38">
        <f>'Reconciliation Adj EBITDA'!I15</f>
        <v>39</v>
      </c>
      <c r="J13" s="38">
        <f>'Reconciliation Adj EBITDA'!J15</f>
        <v>44</v>
      </c>
      <c r="K13" s="49">
        <f>'Reconciliation Adj EBITDA'!K15</f>
        <v>169</v>
      </c>
      <c r="L13" s="38">
        <f>'Reconciliation Adj EBITDA'!L15</f>
        <v>85</v>
      </c>
      <c r="M13" s="38">
        <f>'Reconciliation Adj EBITDA'!M15</f>
        <v>88</v>
      </c>
      <c r="N13" s="38">
        <f>'Reconciliation Adj EBITDA'!N15</f>
        <v>94</v>
      </c>
      <c r="O13" s="38">
        <f>'Reconciliation Adj EBITDA'!O15</f>
        <v>96</v>
      </c>
      <c r="P13" s="105">
        <f>'Reconciliation Adj EBITDA'!P15</f>
        <v>363</v>
      </c>
      <c r="Q13" s="38">
        <f>'Reconciliation Adj EBITDA'!Q15</f>
        <v>135</v>
      </c>
      <c r="R13" s="38">
        <f>'Reconciliation Adj EBITDA'!R15</f>
        <v>132</v>
      </c>
      <c r="S13" s="38">
        <f>'Reconciliation Adj EBITDA'!S15</f>
        <v>128</v>
      </c>
      <c r="T13" s="38">
        <f>'Reconciliation Adj EBITDA'!T15</f>
        <v>127</v>
      </c>
      <c r="U13" s="105">
        <f>'Reconciliation Adj EBITDA'!U15</f>
        <v>522</v>
      </c>
      <c r="V13" s="38">
        <f>'Reconciliation Adj EBITDA'!V15</f>
        <v>129</v>
      </c>
      <c r="W13" s="38">
        <f>'Reconciliation Adj EBITDA'!W15</f>
        <v>129</v>
      </c>
      <c r="X13" s="38">
        <f>'Reconciliation Adj EBITDA'!X15</f>
        <v>129</v>
      </c>
      <c r="Y13" s="38">
        <f>'Reconciliation Adj EBITDA'!Y15</f>
        <v>126</v>
      </c>
      <c r="Z13" s="105">
        <f>'Reconciliation Adj EBITDA'!Z15</f>
        <v>513</v>
      </c>
      <c r="AA13" s="38">
        <f>'Reconciliation Adj EBITDA'!AA15</f>
        <v>174</v>
      </c>
      <c r="AB13" s="38">
        <f>'Reconciliation Adj EBITDA'!AB15</f>
        <v>175</v>
      </c>
      <c r="AC13" s="38">
        <f>'Reconciliation Adj EBITDA'!AC15</f>
        <v>185</v>
      </c>
      <c r="AD13" s="38">
        <f>'Reconciliation Adj EBITDA'!AD15</f>
        <v>190</v>
      </c>
      <c r="AE13" s="105">
        <f>'Reconciliation Adj EBITDA'!AE15</f>
        <v>724</v>
      </c>
      <c r="AF13" s="38">
        <f>'Reconciliation Adj EBITDA'!AF15</f>
        <v>110</v>
      </c>
      <c r="AG13" s="38">
        <f>'Reconciliation Adj EBITDA'!AG15</f>
        <v>109</v>
      </c>
      <c r="AH13" s="38">
        <f>'Reconciliation Adj EBITDA'!AH15</f>
        <v>108</v>
      </c>
      <c r="AI13" s="38">
        <f>'Reconciliation Adj EBITDA'!AI15</f>
        <v>104</v>
      </c>
      <c r="AJ13" s="105">
        <f>'Reconciliation Adj EBITDA'!AJ15</f>
        <v>431</v>
      </c>
      <c r="AK13" s="38">
        <f>'Reconciliation Adj EBITDA'!AK15</f>
        <v>93</v>
      </c>
      <c r="AL13" s="38">
        <f>'Reconciliation Adj EBITDA'!AL15</f>
        <v>89</v>
      </c>
      <c r="AM13" s="38">
        <f>'Reconciliation Adj EBITDA'!AM15</f>
        <v>77</v>
      </c>
      <c r="AN13" s="38">
        <f>'Reconciliation Adj EBITDA'!AN15</f>
        <v>267</v>
      </c>
      <c r="AO13" s="105">
        <f>'Reconciliation Adj EBITDA'!AO15</f>
        <v>526</v>
      </c>
    </row>
    <row r="14" spans="1:41" ht="14.1" customHeight="1" thickBot="1" x14ac:dyDescent="0.3">
      <c r="A14" s="22" t="s">
        <v>215</v>
      </c>
      <c r="B14" s="77">
        <f t="shared" ref="B14:F14" si="7">SUM(B11:B13)</f>
        <v>112</v>
      </c>
      <c r="C14" s="77">
        <f t="shared" si="7"/>
        <v>110</v>
      </c>
      <c r="D14" s="77">
        <f t="shared" si="7"/>
        <v>110</v>
      </c>
      <c r="E14" s="77">
        <f t="shared" si="7"/>
        <v>109</v>
      </c>
      <c r="F14" s="81">
        <f t="shared" si="7"/>
        <v>441</v>
      </c>
      <c r="G14" s="77">
        <f>SUM(G11:G13)</f>
        <v>129</v>
      </c>
      <c r="H14" s="77">
        <f>SUM(H11:H13)</f>
        <v>131</v>
      </c>
      <c r="I14" s="77">
        <f>SUM(I11:I13)</f>
        <v>132</v>
      </c>
      <c r="J14" s="77">
        <f>SUM(J11:J13)</f>
        <v>133</v>
      </c>
      <c r="K14" s="81">
        <f t="shared" ref="K14:Q14" si="8">SUM(K11:K13)</f>
        <v>524</v>
      </c>
      <c r="L14" s="77">
        <f t="shared" si="8"/>
        <v>290</v>
      </c>
      <c r="M14" s="77">
        <f>SUM(M11:M13)</f>
        <v>299</v>
      </c>
      <c r="N14" s="77">
        <f>SUM(N11:N13)</f>
        <v>320</v>
      </c>
      <c r="O14" s="77">
        <f t="shared" si="8"/>
        <v>321</v>
      </c>
      <c r="P14" s="145">
        <f t="shared" si="8"/>
        <v>1231</v>
      </c>
      <c r="Q14" s="77">
        <f t="shared" si="8"/>
        <v>434</v>
      </c>
      <c r="R14" s="77">
        <f t="shared" ref="R14:V14" si="9">SUM(R11:R13)</f>
        <v>419</v>
      </c>
      <c r="S14" s="77">
        <f t="shared" si="9"/>
        <v>419</v>
      </c>
      <c r="T14" s="77">
        <f t="shared" si="9"/>
        <v>419</v>
      </c>
      <c r="U14" s="145">
        <f t="shared" si="9"/>
        <v>1691</v>
      </c>
      <c r="V14" s="77">
        <f t="shared" si="9"/>
        <v>394</v>
      </c>
      <c r="W14" s="77">
        <f t="shared" ref="W14:AA14" si="10">SUM(W11:W13)</f>
        <v>391</v>
      </c>
      <c r="X14" s="77">
        <f t="shared" si="10"/>
        <v>388</v>
      </c>
      <c r="Y14" s="77">
        <f t="shared" si="10"/>
        <v>383</v>
      </c>
      <c r="Z14" s="145">
        <f t="shared" si="10"/>
        <v>1556</v>
      </c>
      <c r="AA14" s="77">
        <f t="shared" si="10"/>
        <v>538</v>
      </c>
      <c r="AB14" s="77">
        <f t="shared" ref="AB14:AF14" si="11">SUM(AB11:AB13)</f>
        <v>539</v>
      </c>
      <c r="AC14" s="77">
        <f t="shared" si="11"/>
        <v>572</v>
      </c>
      <c r="AD14" s="77">
        <f t="shared" si="11"/>
        <v>583</v>
      </c>
      <c r="AE14" s="145">
        <f t="shared" si="11"/>
        <v>2232</v>
      </c>
      <c r="AF14" s="77">
        <f t="shared" si="11"/>
        <v>338</v>
      </c>
      <c r="AG14" s="77">
        <f t="shared" ref="AG14:AK14" si="12">SUM(AG11:AG13)</f>
        <v>337</v>
      </c>
      <c r="AH14" s="77">
        <f t="shared" si="12"/>
        <v>330</v>
      </c>
      <c r="AI14" s="77">
        <f t="shared" si="12"/>
        <v>319</v>
      </c>
      <c r="AJ14" s="145">
        <f t="shared" si="12"/>
        <v>1324</v>
      </c>
      <c r="AK14" s="77">
        <f t="shared" si="12"/>
        <v>275</v>
      </c>
      <c r="AL14" s="77">
        <f t="shared" ref="AL14" si="13">SUM(AL11:AL13)</f>
        <v>264</v>
      </c>
      <c r="AM14" s="77">
        <f>SUM(AM11:AM13)</f>
        <v>247</v>
      </c>
      <c r="AN14" s="77">
        <f t="shared" ref="AN14:AO14" si="14">SUM(AN11:AN13)</f>
        <v>970</v>
      </c>
      <c r="AO14" s="145">
        <f t="shared" si="14"/>
        <v>1756</v>
      </c>
    </row>
    <row r="15" spans="1:41" ht="15" customHeight="1" thickTop="1" x14ac:dyDescent="0.25">
      <c r="F15" s="9"/>
      <c r="K15" s="9"/>
      <c r="P15" s="100"/>
      <c r="U15" s="100"/>
      <c r="Z15" s="100"/>
      <c r="AE15" s="100"/>
      <c r="AJ15" s="100"/>
      <c r="AO15" s="100"/>
    </row>
    <row r="16" spans="1:41" ht="14.1" customHeight="1" x14ac:dyDescent="0.25">
      <c r="A16" s="18" t="s">
        <v>208</v>
      </c>
      <c r="F16" s="9"/>
      <c r="K16" s="9"/>
      <c r="P16" s="100"/>
      <c r="U16" s="100"/>
      <c r="Z16" s="100"/>
      <c r="AE16" s="100"/>
      <c r="AJ16" s="100"/>
      <c r="AO16" s="100"/>
    </row>
    <row r="17" spans="1:41" ht="15" customHeight="1" x14ac:dyDescent="0.25">
      <c r="A17" s="21" t="s">
        <v>101</v>
      </c>
      <c r="B17" s="38">
        <f>'Reconciliation Adj EBITDA'!B17</f>
        <v>5971</v>
      </c>
      <c r="C17" s="38">
        <f>'Reconciliation Adj EBITDA'!C17</f>
        <v>6813</v>
      </c>
      <c r="D17" s="38">
        <f>'Reconciliation Adj EBITDA'!D17</f>
        <v>8503</v>
      </c>
      <c r="E17" s="38">
        <f>'Reconciliation Adj EBITDA'!E17</f>
        <v>8579</v>
      </c>
      <c r="F17" s="49">
        <f>'Reconciliation Adj EBITDA'!F17</f>
        <v>29866</v>
      </c>
      <c r="G17" s="38">
        <f>'Reconciliation Adj EBITDA'!G17</f>
        <v>8220</v>
      </c>
      <c r="H17" s="38">
        <f>'Reconciliation Adj EBITDA'!H17</f>
        <v>9220</v>
      </c>
      <c r="I17" s="38">
        <f>'Reconciliation Adj EBITDA'!I17</f>
        <v>10406</v>
      </c>
      <c r="J17" s="38">
        <f>'Reconciliation Adj EBITDA'!J17</f>
        <v>10623</v>
      </c>
      <c r="K17" s="49">
        <f>'Reconciliation Adj EBITDA'!K17</f>
        <v>38469</v>
      </c>
      <c r="L17" s="38">
        <f>'Reconciliation Adj EBITDA'!L17</f>
        <v>11091</v>
      </c>
      <c r="M17" s="38">
        <f>'Reconciliation Adj EBITDA'!M17</f>
        <v>13003</v>
      </c>
      <c r="N17" s="38">
        <f>'Reconciliation Adj EBITDA'!N17</f>
        <v>14320</v>
      </c>
      <c r="O17" s="38">
        <f>'Reconciliation Adj EBITDA'!O17</f>
        <v>15575</v>
      </c>
      <c r="P17" s="105">
        <f>'Reconciliation Adj EBITDA'!P17</f>
        <v>53988</v>
      </c>
      <c r="Q17" s="38">
        <f>'Reconciliation Adj EBITDA'!Q17</f>
        <v>15249</v>
      </c>
      <c r="R17" s="38">
        <f>'Reconciliation Adj EBITDA'!R17</f>
        <v>15050</v>
      </c>
      <c r="S17" s="38">
        <f>'Reconciliation Adj EBITDA'!S17</f>
        <v>16571</v>
      </c>
      <c r="T17" s="38">
        <f>'Reconciliation Adj EBITDA'!T17</f>
        <v>20477</v>
      </c>
      <c r="U17" s="105">
        <f>'Reconciliation Adj EBITDA'!U17</f>
        <v>67347</v>
      </c>
      <c r="V17" s="38">
        <f>'Reconciliation Adj EBITDA'!V17</f>
        <v>9135</v>
      </c>
      <c r="W17" s="38">
        <f>'Reconciliation Adj EBITDA'!W17</f>
        <v>10847</v>
      </c>
      <c r="X17" s="38">
        <f>'Reconciliation Adj EBITDA'!X17</f>
        <v>12193</v>
      </c>
      <c r="Y17" s="38">
        <f>'Reconciliation Adj EBITDA'!Y17</f>
        <v>12691</v>
      </c>
      <c r="Z17" s="105">
        <f>'Reconciliation Adj EBITDA'!Z17</f>
        <v>44866</v>
      </c>
      <c r="AA17" s="38">
        <f>'Reconciliation Adj EBITDA'!AA17</f>
        <v>12771</v>
      </c>
      <c r="AB17" s="38">
        <f>'Reconciliation Adj EBITDA'!AB17</f>
        <v>13098</v>
      </c>
      <c r="AC17" s="38">
        <f>'Reconciliation Adj EBITDA'!AC17</f>
        <v>14712</v>
      </c>
      <c r="AD17" s="38">
        <f>'Reconciliation Adj EBITDA'!AD17</f>
        <v>15354</v>
      </c>
      <c r="AE17" s="105">
        <f>'Reconciliation Adj EBITDA'!AE17</f>
        <v>55935</v>
      </c>
      <c r="AF17" s="38">
        <f>'Reconciliation Adj EBITDA'!AF17</f>
        <v>15244</v>
      </c>
      <c r="AG17" s="38">
        <f>'Reconciliation Adj EBITDA'!AG17</f>
        <v>15744</v>
      </c>
      <c r="AH17" s="38">
        <f>'Reconciliation Adj EBITDA'!AH17</f>
        <v>15520</v>
      </c>
      <c r="AI17" s="38">
        <f>'Reconciliation Adj EBITDA'!AI17</f>
        <v>14611</v>
      </c>
      <c r="AJ17" s="105">
        <f>'Reconciliation Adj EBITDA'!AJ17</f>
        <v>61119</v>
      </c>
      <c r="AK17" s="38">
        <f>'Reconciliation Adj EBITDA'!AK17</f>
        <v>14632</v>
      </c>
      <c r="AL17" s="38">
        <f>'Reconciliation Adj EBITDA'!AL17</f>
        <v>12625</v>
      </c>
      <c r="AM17" s="38">
        <f>'Reconciliation Adj EBITDA'!AM17</f>
        <v>11972</v>
      </c>
      <c r="AN17" s="38">
        <f>'Reconciliation Adj EBITDA'!AN17</f>
        <v>11653</v>
      </c>
      <c r="AO17" s="105">
        <f>'Reconciliation Adj EBITDA'!AO17</f>
        <v>50882</v>
      </c>
    </row>
    <row r="18" spans="1:41" ht="15" customHeight="1" x14ac:dyDescent="0.25">
      <c r="A18" s="21" t="s">
        <v>205</v>
      </c>
      <c r="B18" s="38">
        <f>'Reconciliation Adj EBITDA'!B18</f>
        <v>1144</v>
      </c>
      <c r="C18" s="38">
        <f>'Reconciliation Adj EBITDA'!C18</f>
        <v>1977</v>
      </c>
      <c r="D18" s="38">
        <f>'Reconciliation Adj EBITDA'!D18</f>
        <v>1690</v>
      </c>
      <c r="E18" s="38">
        <f>'Reconciliation Adj EBITDA'!E18</f>
        <v>3183</v>
      </c>
      <c r="F18" s="49">
        <f>'Reconciliation Adj EBITDA'!F18</f>
        <v>7995</v>
      </c>
      <c r="G18" s="38">
        <f>'Reconciliation Adj EBITDA'!G18</f>
        <v>2007</v>
      </c>
      <c r="H18" s="38">
        <f>'Reconciliation Adj EBITDA'!H18</f>
        <v>1457</v>
      </c>
      <c r="I18" s="38">
        <f>'Reconciliation Adj EBITDA'!I18</f>
        <v>1640</v>
      </c>
      <c r="J18" s="38">
        <f>'Reconciliation Adj EBITDA'!J18</f>
        <v>2106</v>
      </c>
      <c r="K18" s="49">
        <f>'Reconciliation Adj EBITDA'!K18</f>
        <v>7211</v>
      </c>
      <c r="L18" s="38">
        <f>'Reconciliation Adj EBITDA'!L18</f>
        <v>2944</v>
      </c>
      <c r="M18" s="38">
        <f>'Reconciliation Adj EBITDA'!M18</f>
        <v>3092</v>
      </c>
      <c r="N18" s="38">
        <f>'Reconciliation Adj EBITDA'!N18</f>
        <v>2822</v>
      </c>
      <c r="O18" s="38">
        <f>'Reconciliation Adj EBITDA'!O18</f>
        <v>2369</v>
      </c>
      <c r="P18" s="105">
        <f>'Reconciliation Adj EBITDA'!P18</f>
        <v>11226</v>
      </c>
      <c r="Q18" s="38">
        <f>'Reconciliation Adj EBITDA'!Q18</f>
        <v>2221</v>
      </c>
      <c r="R18" s="38">
        <f>'Reconciliation Adj EBITDA'!R18</f>
        <v>2245</v>
      </c>
      <c r="S18" s="38">
        <f>'Reconciliation Adj EBITDA'!S18</f>
        <v>2724</v>
      </c>
      <c r="T18" s="38">
        <f>'Reconciliation Adj EBITDA'!T18</f>
        <v>3412</v>
      </c>
      <c r="U18" s="105">
        <f>'Reconciliation Adj EBITDA'!U18</f>
        <v>10602</v>
      </c>
      <c r="V18" s="38">
        <f>'Reconciliation Adj EBITDA'!V18</f>
        <v>3477</v>
      </c>
      <c r="W18" s="38">
        <f>'Reconciliation Adj EBITDA'!W18</f>
        <v>3534</v>
      </c>
      <c r="X18" s="38">
        <f>'Reconciliation Adj EBITDA'!X18</f>
        <v>4249</v>
      </c>
      <c r="Y18" s="38">
        <f>'Reconciliation Adj EBITDA'!Y18</f>
        <v>5248</v>
      </c>
      <c r="Z18" s="105">
        <f>'Reconciliation Adj EBITDA'!Z18</f>
        <v>16508</v>
      </c>
      <c r="AA18" s="38">
        <f>'Reconciliation Adj EBITDA'!AA18</f>
        <v>5650</v>
      </c>
      <c r="AB18" s="38">
        <f>'Reconciliation Adj EBITDA'!AB18</f>
        <v>1658</v>
      </c>
      <c r="AC18" s="38">
        <f>'Reconciliation Adj EBITDA'!AC18</f>
        <v>1721</v>
      </c>
      <c r="AD18" s="38">
        <f>'Reconciliation Adj EBITDA'!AD18</f>
        <v>1712</v>
      </c>
      <c r="AE18" s="105">
        <f>'Reconciliation Adj EBITDA'!AE18</f>
        <v>10741</v>
      </c>
      <c r="AF18" s="38">
        <f>'Reconciliation Adj EBITDA'!AF18</f>
        <v>1753</v>
      </c>
      <c r="AG18" s="38">
        <f>'Reconciliation Adj EBITDA'!AG18</f>
        <v>2207</v>
      </c>
      <c r="AH18" s="38">
        <f>'Reconciliation Adj EBITDA'!AH18</f>
        <v>2557</v>
      </c>
      <c r="AI18" s="38">
        <f>'Reconciliation Adj EBITDA'!AI18</f>
        <v>2967</v>
      </c>
      <c r="AJ18" s="105">
        <f>'Reconciliation Adj EBITDA'!AJ18</f>
        <v>9484</v>
      </c>
      <c r="AK18" s="38">
        <f>'Reconciliation Adj EBITDA'!AK18</f>
        <v>3293</v>
      </c>
      <c r="AL18" s="38">
        <f>'Reconciliation Adj EBITDA'!AL18</f>
        <v>3181</v>
      </c>
      <c r="AM18" s="38">
        <f>'Reconciliation Adj EBITDA'!AM18</f>
        <v>3208</v>
      </c>
      <c r="AN18" s="38">
        <f>'Reconciliation Adj EBITDA'!AN18</f>
        <v>12792</v>
      </c>
      <c r="AO18" s="105">
        <f>'Reconciliation Adj EBITDA'!AO18</f>
        <v>22474</v>
      </c>
    </row>
    <row r="19" spans="1:41" ht="15" customHeight="1" x14ac:dyDescent="0.25">
      <c r="A19" s="21" t="s">
        <v>206</v>
      </c>
      <c r="B19" s="38">
        <f>'Reconciliation Adj EBITDA'!B19</f>
        <v>992</v>
      </c>
      <c r="C19" s="38">
        <f>'Reconciliation Adj EBITDA'!C19</f>
        <v>1112</v>
      </c>
      <c r="D19" s="38">
        <f>'Reconciliation Adj EBITDA'!D19</f>
        <v>1330</v>
      </c>
      <c r="E19" s="38">
        <f>'Reconciliation Adj EBITDA'!E19</f>
        <v>1744</v>
      </c>
      <c r="F19" s="49">
        <f>'Reconciliation Adj EBITDA'!F19</f>
        <v>5178</v>
      </c>
      <c r="G19" s="38">
        <f>'Reconciliation Adj EBITDA'!G19</f>
        <v>1771</v>
      </c>
      <c r="H19" s="38">
        <f>'Reconciliation Adj EBITDA'!H19</f>
        <v>2019</v>
      </c>
      <c r="I19" s="38">
        <f>'Reconciliation Adj EBITDA'!I19</f>
        <v>1813</v>
      </c>
      <c r="J19" s="38">
        <f>'Reconciliation Adj EBITDA'!J19</f>
        <v>2153</v>
      </c>
      <c r="K19" s="49">
        <f>'Reconciliation Adj EBITDA'!K19</f>
        <v>7757</v>
      </c>
      <c r="L19" s="38">
        <f>'Reconciliation Adj EBITDA'!L19</f>
        <v>4961</v>
      </c>
      <c r="M19" s="38">
        <f>'Reconciliation Adj EBITDA'!M19</f>
        <v>4925</v>
      </c>
      <c r="N19" s="38">
        <f>'Reconciliation Adj EBITDA'!N19</f>
        <v>5102</v>
      </c>
      <c r="O19" s="38">
        <f>'Reconciliation Adj EBITDA'!O19</f>
        <v>4856</v>
      </c>
      <c r="P19" s="105">
        <f>'Reconciliation Adj EBITDA'!P19</f>
        <v>19844</v>
      </c>
      <c r="Q19" s="38">
        <f>'Reconciliation Adj EBITDA'!Q19</f>
        <v>4454</v>
      </c>
      <c r="R19" s="38">
        <f>'Reconciliation Adj EBITDA'!R19</f>
        <v>4518</v>
      </c>
      <c r="S19" s="38">
        <f>'Reconciliation Adj EBITDA'!S19</f>
        <v>4442</v>
      </c>
      <c r="T19" s="38">
        <f>'Reconciliation Adj EBITDA'!T19</f>
        <v>4831</v>
      </c>
      <c r="U19" s="105">
        <f>'Reconciliation Adj EBITDA'!U19</f>
        <v>18245</v>
      </c>
      <c r="V19" s="38">
        <f>'Reconciliation Adj EBITDA'!V19</f>
        <v>4864</v>
      </c>
      <c r="W19" s="38">
        <f>'Reconciliation Adj EBITDA'!W19</f>
        <v>5109</v>
      </c>
      <c r="X19" s="38">
        <f>'Reconciliation Adj EBITDA'!X19</f>
        <v>4178</v>
      </c>
      <c r="Y19" s="38">
        <f>'Reconciliation Adj EBITDA'!Y19</f>
        <v>10763</v>
      </c>
      <c r="Z19" s="105">
        <f>'Reconciliation Adj EBITDA'!Z19</f>
        <v>24914</v>
      </c>
      <c r="AA19" s="38">
        <f>'Reconciliation Adj EBITDA'!AA19</f>
        <v>4340</v>
      </c>
      <c r="AB19" s="38">
        <f>'Reconciliation Adj EBITDA'!AB19</f>
        <v>4221</v>
      </c>
      <c r="AC19" s="38">
        <f>'Reconciliation Adj EBITDA'!AC19</f>
        <v>4176</v>
      </c>
      <c r="AD19" s="38">
        <f>'Reconciliation Adj EBITDA'!AD19</f>
        <v>4033</v>
      </c>
      <c r="AE19" s="105">
        <f>'Reconciliation Adj EBITDA'!AE19</f>
        <v>16770</v>
      </c>
      <c r="AF19" s="38">
        <f>'Reconciliation Adj EBITDA'!AF19</f>
        <v>3954</v>
      </c>
      <c r="AG19" s="38">
        <f>'Reconciliation Adj EBITDA'!AG19</f>
        <v>3702</v>
      </c>
      <c r="AH19" s="38">
        <f>'Reconciliation Adj EBITDA'!AH19</f>
        <v>3545</v>
      </c>
      <c r="AI19" s="38">
        <f>'Reconciliation Adj EBITDA'!AI19</f>
        <v>3579</v>
      </c>
      <c r="AJ19" s="105">
        <f>'Reconciliation Adj EBITDA'!AJ19</f>
        <v>14780</v>
      </c>
      <c r="AK19" s="38">
        <f>'Reconciliation Adj EBITDA'!AK19</f>
        <v>3609</v>
      </c>
      <c r="AL19" s="38">
        <f>'Reconciliation Adj EBITDA'!AL19</f>
        <v>3729</v>
      </c>
      <c r="AM19" s="38">
        <f>'Reconciliation Adj EBITDA'!AM19</f>
        <v>3540</v>
      </c>
      <c r="AN19" s="38">
        <f>'Reconciliation Adj EBITDA'!AN19</f>
        <v>3930</v>
      </c>
      <c r="AO19" s="105">
        <f>'Reconciliation Adj EBITDA'!AO19</f>
        <v>14808</v>
      </c>
    </row>
    <row r="20" spans="1:41" ht="15" customHeight="1" x14ac:dyDescent="0.25">
      <c r="A20" s="21" t="s">
        <v>207</v>
      </c>
      <c r="B20" s="38">
        <f>'Reconciliation Adj EBITDA'!B20</f>
        <v>321</v>
      </c>
      <c r="C20" s="38">
        <f>'Reconciliation Adj EBITDA'!C20</f>
        <v>376</v>
      </c>
      <c r="D20" s="38">
        <f>'Reconciliation Adj EBITDA'!D20</f>
        <v>369</v>
      </c>
      <c r="E20" s="38">
        <f>'Reconciliation Adj EBITDA'!E20</f>
        <v>461</v>
      </c>
      <c r="F20" s="49">
        <f>'Reconciliation Adj EBITDA'!F20</f>
        <v>1526</v>
      </c>
      <c r="G20" s="38">
        <f>'Reconciliation Adj EBITDA'!G20</f>
        <v>518</v>
      </c>
      <c r="H20" s="38">
        <f>'Reconciliation Adj EBITDA'!H20</f>
        <v>604</v>
      </c>
      <c r="I20" s="38">
        <f>'Reconciliation Adj EBITDA'!I20</f>
        <v>912</v>
      </c>
      <c r="J20" s="38">
        <f>'Reconciliation Adj EBITDA'!J20</f>
        <v>1308</v>
      </c>
      <c r="K20" s="49">
        <f>'Reconciliation Adj EBITDA'!K20</f>
        <v>3342</v>
      </c>
      <c r="L20" s="38">
        <f>'Reconciliation Adj EBITDA'!L20</f>
        <v>1171</v>
      </c>
      <c r="M20" s="38">
        <f>'Reconciliation Adj EBITDA'!M20</f>
        <v>1286</v>
      </c>
      <c r="N20" s="38">
        <f>'Reconciliation Adj EBITDA'!N20</f>
        <v>1511</v>
      </c>
      <c r="O20" s="38">
        <f>'Reconciliation Adj EBITDA'!O20</f>
        <v>1770</v>
      </c>
      <c r="P20" s="105">
        <f>'Reconciliation Adj EBITDA'!P20</f>
        <v>5738</v>
      </c>
      <c r="Q20" s="38">
        <f>'Reconciliation Adj EBITDA'!Q20</f>
        <v>1722</v>
      </c>
      <c r="R20" s="38">
        <f>'Reconciliation Adj EBITDA'!R20</f>
        <v>1747</v>
      </c>
      <c r="S20" s="38">
        <f>'Reconciliation Adj EBITDA'!S20</f>
        <v>1882</v>
      </c>
      <c r="T20" s="38">
        <f>'Reconciliation Adj EBITDA'!T20</f>
        <v>1955</v>
      </c>
      <c r="U20" s="105">
        <f>'Reconciliation Adj EBITDA'!U20</f>
        <v>7306</v>
      </c>
      <c r="V20" s="38">
        <f>'Reconciliation Adj EBITDA'!V20</f>
        <v>1820</v>
      </c>
      <c r="W20" s="38">
        <f>'Reconciliation Adj EBITDA'!W20</f>
        <v>1825</v>
      </c>
      <c r="X20" s="38">
        <f>'Reconciliation Adj EBITDA'!X20</f>
        <v>1768</v>
      </c>
      <c r="Y20" s="38">
        <f>'Reconciliation Adj EBITDA'!Y20</f>
        <v>1787</v>
      </c>
      <c r="Z20" s="105">
        <f>'Reconciliation Adj EBITDA'!Z20</f>
        <v>7200</v>
      </c>
      <c r="AA20" s="38">
        <f>'Reconciliation Adj EBITDA'!AA20</f>
        <v>1377</v>
      </c>
      <c r="AB20" s="38">
        <f>'Reconciliation Adj EBITDA'!AB20</f>
        <v>1231</v>
      </c>
      <c r="AC20" s="38">
        <f>'Reconciliation Adj EBITDA'!AC20</f>
        <v>1143</v>
      </c>
      <c r="AD20" s="38">
        <f>'Reconciliation Adj EBITDA'!AD20</f>
        <v>1041</v>
      </c>
      <c r="AE20" s="105">
        <f>'Reconciliation Adj EBITDA'!AE20</f>
        <v>4792</v>
      </c>
      <c r="AF20" s="38">
        <f>'Reconciliation Adj EBITDA'!AF20</f>
        <v>903</v>
      </c>
      <c r="AG20" s="38">
        <f>'Reconciliation Adj EBITDA'!AG20</f>
        <v>838</v>
      </c>
      <c r="AH20" s="38">
        <f>'Reconciliation Adj EBITDA'!AH20</f>
        <v>679</v>
      </c>
      <c r="AI20" s="38">
        <f>'Reconciliation Adj EBITDA'!AI20</f>
        <v>599</v>
      </c>
      <c r="AJ20" s="105">
        <f>'Reconciliation Adj EBITDA'!AJ20</f>
        <v>3019</v>
      </c>
      <c r="AK20" s="38">
        <f>'Reconciliation Adj EBITDA'!AK20</f>
        <v>610</v>
      </c>
      <c r="AL20" s="38">
        <f>'Reconciliation Adj EBITDA'!AL20</f>
        <v>606</v>
      </c>
      <c r="AM20" s="38">
        <f>'Reconciliation Adj EBITDA'!AM20</f>
        <v>563</v>
      </c>
      <c r="AN20" s="38">
        <f>'Reconciliation Adj EBITDA'!AN20</f>
        <v>-925</v>
      </c>
      <c r="AO20" s="105">
        <f>'Reconciliation Adj EBITDA'!AO20</f>
        <v>854</v>
      </c>
    </row>
    <row r="21" spans="1:41" ht="14.1" customHeight="1" thickBot="1" x14ac:dyDescent="0.3">
      <c r="A21" s="22" t="s">
        <v>216</v>
      </c>
      <c r="B21" s="77">
        <f t="shared" ref="B21:F21" si="15">SUM(B17:B20)</f>
        <v>8428</v>
      </c>
      <c r="C21" s="77">
        <f t="shared" si="15"/>
        <v>10278</v>
      </c>
      <c r="D21" s="77">
        <f t="shared" si="15"/>
        <v>11892</v>
      </c>
      <c r="E21" s="77">
        <f t="shared" si="15"/>
        <v>13967</v>
      </c>
      <c r="F21" s="81">
        <f t="shared" si="15"/>
        <v>44565</v>
      </c>
      <c r="G21" s="77">
        <f>SUM(G17:G20)</f>
        <v>12516</v>
      </c>
      <c r="H21" s="77">
        <f>SUM(H17:H20)</f>
        <v>13300</v>
      </c>
      <c r="I21" s="77">
        <f>SUM(I17:I20)</f>
        <v>14771</v>
      </c>
      <c r="J21" s="77">
        <f>SUM(J17:J20)</f>
        <v>16190</v>
      </c>
      <c r="K21" s="81">
        <f t="shared" ref="K21:Q21" si="16">SUM(K17:K20)</f>
        <v>56779</v>
      </c>
      <c r="L21" s="77">
        <f t="shared" si="16"/>
        <v>20167</v>
      </c>
      <c r="M21" s="77">
        <f>SUM(M17:M20)</f>
        <v>22306</v>
      </c>
      <c r="N21" s="77">
        <f>SUM(N17:N20)</f>
        <v>23755</v>
      </c>
      <c r="O21" s="77">
        <f t="shared" si="16"/>
        <v>24570</v>
      </c>
      <c r="P21" s="145">
        <f t="shared" si="16"/>
        <v>90796</v>
      </c>
      <c r="Q21" s="77">
        <f t="shared" si="16"/>
        <v>23646</v>
      </c>
      <c r="R21" s="77">
        <f t="shared" ref="R21:V21" si="17">SUM(R17:R20)</f>
        <v>23560</v>
      </c>
      <c r="S21" s="77">
        <f t="shared" si="17"/>
        <v>25619</v>
      </c>
      <c r="T21" s="77">
        <f t="shared" si="17"/>
        <v>30675</v>
      </c>
      <c r="U21" s="145">
        <f t="shared" si="17"/>
        <v>103500</v>
      </c>
      <c r="V21" s="77">
        <f t="shared" si="17"/>
        <v>19296</v>
      </c>
      <c r="W21" s="77">
        <f t="shared" ref="W21:AA21" si="18">SUM(W17:W20)</f>
        <v>21315</v>
      </c>
      <c r="X21" s="77">
        <f t="shared" si="18"/>
        <v>22388</v>
      </c>
      <c r="Y21" s="77">
        <f t="shared" si="18"/>
        <v>30489</v>
      </c>
      <c r="Z21" s="145">
        <f t="shared" si="18"/>
        <v>93488</v>
      </c>
      <c r="AA21" s="77">
        <f t="shared" si="18"/>
        <v>24138</v>
      </c>
      <c r="AB21" s="77">
        <f t="shared" ref="AB21:AF21" si="19">SUM(AB17:AB20)</f>
        <v>20208</v>
      </c>
      <c r="AC21" s="77">
        <f t="shared" si="19"/>
        <v>21752</v>
      </c>
      <c r="AD21" s="77">
        <f t="shared" si="19"/>
        <v>22140</v>
      </c>
      <c r="AE21" s="145">
        <f t="shared" si="19"/>
        <v>88238</v>
      </c>
      <c r="AF21" s="77">
        <f t="shared" si="19"/>
        <v>21854</v>
      </c>
      <c r="AG21" s="77">
        <f t="shared" ref="AG21:AK21" si="20">SUM(AG17:AG20)</f>
        <v>22491</v>
      </c>
      <c r="AH21" s="77">
        <f t="shared" si="20"/>
        <v>22301</v>
      </c>
      <c r="AI21" s="77">
        <f t="shared" si="20"/>
        <v>21756</v>
      </c>
      <c r="AJ21" s="145">
        <f t="shared" si="20"/>
        <v>88402</v>
      </c>
      <c r="AK21" s="77">
        <f t="shared" si="20"/>
        <v>22144</v>
      </c>
      <c r="AL21" s="77">
        <f>SUM(AL17:AL20)</f>
        <v>20141</v>
      </c>
      <c r="AM21" s="77">
        <f>SUM(AM17:AM20)</f>
        <v>19283</v>
      </c>
      <c r="AN21" s="77">
        <f t="shared" ref="AN21:AO21" si="21">SUM(AN17:AN20)</f>
        <v>27450</v>
      </c>
      <c r="AO21" s="145">
        <f t="shared" si="21"/>
        <v>89018</v>
      </c>
    </row>
    <row r="22" spans="1:41" ht="15" customHeight="1" thickTop="1" x14ac:dyDescent="0.25">
      <c r="F22" s="9"/>
      <c r="K22" s="9"/>
      <c r="P22" s="100"/>
      <c r="U22" s="100"/>
      <c r="Z22" s="100"/>
      <c r="AE22" s="100"/>
      <c r="AJ22" s="100"/>
      <c r="AO22" s="100"/>
    </row>
    <row r="23" spans="1:41" ht="14.1" customHeight="1" x14ac:dyDescent="0.25">
      <c r="A23" s="18" t="s">
        <v>197</v>
      </c>
      <c r="F23" s="9"/>
      <c r="K23" s="9"/>
      <c r="P23" s="100"/>
      <c r="U23" s="100"/>
      <c r="Z23" s="100"/>
      <c r="AE23" s="100"/>
      <c r="AJ23" s="100"/>
      <c r="AO23" s="100"/>
    </row>
    <row r="24" spans="1:41" ht="14.1" customHeight="1" x14ac:dyDescent="0.25">
      <c r="A24" s="21" t="s">
        <v>206</v>
      </c>
      <c r="F24" s="9"/>
      <c r="K24" s="9"/>
      <c r="P24" s="100"/>
      <c r="U24" s="100"/>
      <c r="Z24" s="100"/>
      <c r="AE24" s="100"/>
      <c r="AJ24" s="100"/>
      <c r="AL24" s="38">
        <v>178</v>
      </c>
      <c r="AM24" s="2">
        <v>-11</v>
      </c>
      <c r="AN24" s="2">
        <v>-2</v>
      </c>
      <c r="AO24" s="100">
        <v>165</v>
      </c>
    </row>
    <row r="25" spans="1:41" ht="14.1" customHeight="1" x14ac:dyDescent="0.25">
      <c r="A25" s="21" t="s">
        <v>207</v>
      </c>
      <c r="B25" s="38">
        <f>'Reconciliation Adj EBITDA'!B23</f>
        <v>0</v>
      </c>
      <c r="C25" s="38">
        <f>'Reconciliation Adj EBITDA'!C23</f>
        <v>0</v>
      </c>
      <c r="D25" s="38">
        <f>'Reconciliation Adj EBITDA'!D23</f>
        <v>0</v>
      </c>
      <c r="E25" s="38">
        <f>'Reconciliation Adj EBITDA'!E23</f>
        <v>0</v>
      </c>
      <c r="F25" s="49">
        <f>'Reconciliation Adj EBITDA'!F23</f>
        <v>0</v>
      </c>
      <c r="G25" s="38">
        <f>'Reconciliation Adj EBITDA'!G23</f>
        <v>0</v>
      </c>
      <c r="H25" s="38">
        <f>'Reconciliation Adj EBITDA'!H23</f>
        <v>148</v>
      </c>
      <c r="I25" s="38">
        <f>'Reconciliation Adj EBITDA'!I23</f>
        <v>1793</v>
      </c>
      <c r="J25" s="38">
        <f>'Reconciliation Adj EBITDA'!J23</f>
        <v>980</v>
      </c>
      <c r="K25" s="49">
        <f>'Reconciliation Adj EBITDA'!K23</f>
        <v>2921</v>
      </c>
      <c r="L25" s="38">
        <f>'Reconciliation Adj EBITDA'!L23</f>
        <v>6</v>
      </c>
      <c r="M25" s="38">
        <f>'Reconciliation Adj EBITDA'!M23</f>
        <v>0</v>
      </c>
      <c r="N25" s="38">
        <f>'Reconciliation Adj EBITDA'!N23</f>
        <v>0</v>
      </c>
      <c r="O25" s="38">
        <f>'Reconciliation Adj EBITDA'!O23</f>
        <v>0</v>
      </c>
      <c r="P25" s="105">
        <f>'Reconciliation Adj EBITDA'!P23</f>
        <v>6</v>
      </c>
      <c r="Q25" s="38">
        <f>'Reconciliation Adj EBITDA'!Q23</f>
        <v>0</v>
      </c>
      <c r="R25" s="38">
        <f>'Reconciliation Adj EBITDA'!R23</f>
        <v>0</v>
      </c>
      <c r="S25" s="38">
        <f>'Reconciliation Adj EBITDA'!S23</f>
        <v>516</v>
      </c>
      <c r="T25" s="38">
        <f>'Reconciliation Adj EBITDA'!T23</f>
        <v>1222</v>
      </c>
      <c r="U25" s="105">
        <f>'Reconciliation Adj EBITDA'!U23</f>
        <v>1738</v>
      </c>
      <c r="V25" s="38">
        <f>'Reconciliation Adj EBITDA'!V23</f>
        <v>0</v>
      </c>
      <c r="W25" s="38">
        <f>'Reconciliation Adj EBITDA'!W23</f>
        <v>0</v>
      </c>
      <c r="X25" s="38">
        <f>'Reconciliation Adj EBITDA'!X23</f>
        <v>0</v>
      </c>
      <c r="Y25" s="38">
        <f>'Reconciliation Adj EBITDA'!Y23</f>
        <v>0</v>
      </c>
      <c r="Z25" s="105">
        <f>'Reconciliation Adj EBITDA'!Z23</f>
        <v>0</v>
      </c>
      <c r="AA25" s="38">
        <f>'Reconciliation Adj EBITDA'!AA23</f>
        <v>0</v>
      </c>
      <c r="AB25" s="38">
        <f>'Reconciliation Adj EBITDA'!AB23</f>
        <v>0</v>
      </c>
      <c r="AC25" s="38">
        <f>'Reconciliation Adj EBITDA'!AC23</f>
        <v>112</v>
      </c>
      <c r="AD25" s="38">
        <f>'Reconciliation Adj EBITDA'!AD23</f>
        <v>174</v>
      </c>
      <c r="AE25" s="105">
        <f>'Reconciliation Adj EBITDA'!AE23</f>
        <v>286</v>
      </c>
      <c r="AF25" s="38">
        <f>'Reconciliation Adj EBITDA'!AF23</f>
        <v>0</v>
      </c>
      <c r="AG25" s="38">
        <f>'Reconciliation Adj EBITDA'!AG23</f>
        <v>3047</v>
      </c>
      <c r="AH25" s="38">
        <f>'Reconciliation Adj EBITDA'!AH23</f>
        <v>2091</v>
      </c>
      <c r="AI25" s="38">
        <f>'Reconciliation Adj EBITDA'!AI23</f>
        <v>6118</v>
      </c>
      <c r="AJ25" s="105">
        <f>'Reconciliation Adj EBITDA'!AJ23</f>
        <v>11256</v>
      </c>
      <c r="AK25" s="38">
        <f>'Reconciliation Adj EBITDA'!AK23</f>
        <v>2544</v>
      </c>
      <c r="AL25" s="38">
        <f>'Reconciliation Adj EBITDA'!AL23</f>
        <v>1799</v>
      </c>
      <c r="AM25" s="38">
        <f>'Reconciliation Adj EBITDA'!AM23</f>
        <v>6981</v>
      </c>
      <c r="AN25" s="38">
        <f>'Reconciliation Adj EBITDA'!AN23</f>
        <v>1095</v>
      </c>
      <c r="AO25" s="105">
        <f>'Reconciliation Adj EBITDA'!AO23</f>
        <v>12419</v>
      </c>
    </row>
    <row r="26" spans="1:41" ht="14.1" customHeight="1" thickBot="1" x14ac:dyDescent="0.3">
      <c r="A26" s="22" t="s">
        <v>217</v>
      </c>
      <c r="B26" s="77">
        <f t="shared" ref="B26:Q26" si="22">SUM(B25:B25)</f>
        <v>0</v>
      </c>
      <c r="C26" s="77">
        <f t="shared" si="22"/>
        <v>0</v>
      </c>
      <c r="D26" s="77">
        <f t="shared" si="22"/>
        <v>0</v>
      </c>
      <c r="E26" s="77">
        <f t="shared" si="22"/>
        <v>0</v>
      </c>
      <c r="F26" s="81">
        <f t="shared" si="22"/>
        <v>0</v>
      </c>
      <c r="G26" s="77">
        <f t="shared" si="22"/>
        <v>0</v>
      </c>
      <c r="H26" s="77">
        <f t="shared" si="22"/>
        <v>148</v>
      </c>
      <c r="I26" s="77">
        <f t="shared" si="22"/>
        <v>1793</v>
      </c>
      <c r="J26" s="77">
        <f t="shared" si="22"/>
        <v>980</v>
      </c>
      <c r="K26" s="81">
        <f t="shared" si="22"/>
        <v>2921</v>
      </c>
      <c r="L26" s="77">
        <f t="shared" si="22"/>
        <v>6</v>
      </c>
      <c r="M26" s="77">
        <f t="shared" si="22"/>
        <v>0</v>
      </c>
      <c r="N26" s="77">
        <f t="shared" si="22"/>
        <v>0</v>
      </c>
      <c r="O26" s="77">
        <f t="shared" si="22"/>
        <v>0</v>
      </c>
      <c r="P26" s="145">
        <f t="shared" si="22"/>
        <v>6</v>
      </c>
      <c r="Q26" s="77">
        <f t="shared" si="22"/>
        <v>0</v>
      </c>
      <c r="R26" s="77">
        <f t="shared" ref="R26:V26" si="23">SUM(R25:R25)</f>
        <v>0</v>
      </c>
      <c r="S26" s="77">
        <f t="shared" si="23"/>
        <v>516</v>
      </c>
      <c r="T26" s="77">
        <f t="shared" si="23"/>
        <v>1222</v>
      </c>
      <c r="U26" s="145">
        <f t="shared" si="23"/>
        <v>1738</v>
      </c>
      <c r="V26" s="77">
        <f t="shared" si="23"/>
        <v>0</v>
      </c>
      <c r="W26" s="77">
        <f t="shared" ref="W26:AA26" si="24">SUM(W25:W25)</f>
        <v>0</v>
      </c>
      <c r="X26" s="77">
        <f t="shared" si="24"/>
        <v>0</v>
      </c>
      <c r="Y26" s="77">
        <f t="shared" si="24"/>
        <v>0</v>
      </c>
      <c r="Z26" s="145">
        <f t="shared" si="24"/>
        <v>0</v>
      </c>
      <c r="AA26" s="77">
        <f t="shared" si="24"/>
        <v>0</v>
      </c>
      <c r="AB26" s="77">
        <f t="shared" ref="AB26:AF26" si="25">SUM(AB25:AB25)</f>
        <v>0</v>
      </c>
      <c r="AC26" s="77">
        <f t="shared" si="25"/>
        <v>112</v>
      </c>
      <c r="AD26" s="77">
        <f t="shared" si="25"/>
        <v>174</v>
      </c>
      <c r="AE26" s="145">
        <f t="shared" si="25"/>
        <v>286</v>
      </c>
      <c r="AF26" s="77">
        <f t="shared" si="25"/>
        <v>0</v>
      </c>
      <c r="AG26" s="77">
        <f t="shared" ref="AG26:AK26" si="26">SUM(AG25:AG25)</f>
        <v>3047</v>
      </c>
      <c r="AH26" s="77">
        <f t="shared" si="26"/>
        <v>2091</v>
      </c>
      <c r="AI26" s="77">
        <f t="shared" si="26"/>
        <v>6118</v>
      </c>
      <c r="AJ26" s="145">
        <f t="shared" si="26"/>
        <v>11256</v>
      </c>
      <c r="AK26" s="77">
        <f t="shared" si="26"/>
        <v>2544</v>
      </c>
      <c r="AL26" s="77">
        <f>SUM(AL24:AL25)</f>
        <v>1977</v>
      </c>
      <c r="AM26" s="77">
        <f>SUM(AM24:AM25)</f>
        <v>6970</v>
      </c>
      <c r="AN26" s="77">
        <f>SUM(AN24:AN25)</f>
        <v>1093</v>
      </c>
      <c r="AO26" s="145">
        <f>SUM(AO24:AO25)</f>
        <v>12584</v>
      </c>
    </row>
    <row r="27" spans="1:41" ht="14.1" customHeight="1" thickTop="1" x14ac:dyDescent="0.25">
      <c r="A27" s="22"/>
      <c r="B27" s="164"/>
      <c r="C27" s="164"/>
      <c r="D27" s="164"/>
      <c r="E27" s="164"/>
      <c r="F27" s="165"/>
      <c r="G27" s="164"/>
      <c r="H27" s="164"/>
      <c r="I27" s="164"/>
      <c r="J27" s="164"/>
      <c r="K27" s="165"/>
      <c r="L27" s="164"/>
      <c r="M27" s="164"/>
      <c r="N27" s="164"/>
      <c r="O27" s="164"/>
      <c r="P27" s="166"/>
      <c r="Q27" s="164"/>
      <c r="R27" s="164"/>
      <c r="S27" s="164"/>
      <c r="T27" s="164"/>
      <c r="U27" s="166"/>
      <c r="V27" s="164"/>
      <c r="W27" s="164"/>
      <c r="X27" s="164"/>
      <c r="Y27" s="164"/>
      <c r="Z27" s="166"/>
      <c r="AA27" s="164"/>
      <c r="AB27" s="164"/>
      <c r="AC27" s="164"/>
      <c r="AD27" s="164"/>
      <c r="AE27" s="166"/>
      <c r="AF27" s="164"/>
      <c r="AG27" s="164"/>
      <c r="AH27" s="164"/>
      <c r="AI27" s="164"/>
      <c r="AJ27" s="166"/>
      <c r="AK27" s="164"/>
      <c r="AL27" s="164"/>
      <c r="AM27" s="164"/>
      <c r="AN27" s="164"/>
      <c r="AO27" s="166"/>
    </row>
    <row r="28" spans="1:41" ht="14.1" customHeight="1" x14ac:dyDescent="0.25">
      <c r="A28" s="18" t="s">
        <v>198</v>
      </c>
      <c r="B28" s="164"/>
      <c r="C28" s="164"/>
      <c r="D28" s="164"/>
      <c r="E28" s="164"/>
      <c r="F28" s="165"/>
      <c r="G28" s="164"/>
      <c r="H28" s="164"/>
      <c r="I28" s="164"/>
      <c r="J28" s="164"/>
      <c r="K28" s="165"/>
      <c r="L28" s="164"/>
      <c r="M28" s="164"/>
      <c r="N28" s="164"/>
      <c r="O28" s="164"/>
      <c r="P28" s="166"/>
      <c r="Q28" s="164"/>
      <c r="R28" s="164"/>
      <c r="S28" s="164"/>
      <c r="T28" s="164"/>
      <c r="U28" s="166"/>
      <c r="V28" s="164"/>
      <c r="W28" s="164"/>
      <c r="X28" s="164"/>
      <c r="Y28" s="164"/>
      <c r="Z28" s="166"/>
      <c r="AA28" s="164"/>
      <c r="AB28" s="164"/>
      <c r="AC28" s="164"/>
      <c r="AD28" s="164"/>
      <c r="AE28" s="166"/>
      <c r="AF28" s="164"/>
      <c r="AG28" s="164"/>
      <c r="AH28" s="164"/>
      <c r="AI28" s="164"/>
      <c r="AJ28" s="166"/>
      <c r="AK28" s="164"/>
      <c r="AL28" s="164"/>
      <c r="AM28" s="164"/>
      <c r="AN28" s="164"/>
      <c r="AO28" s="166"/>
    </row>
    <row r="29" spans="1:41" ht="14.1" customHeight="1" x14ac:dyDescent="0.25">
      <c r="A29" s="21" t="s">
        <v>207</v>
      </c>
      <c r="B29" s="164"/>
      <c r="C29" s="164"/>
      <c r="D29" s="164"/>
      <c r="E29" s="164"/>
      <c r="F29" s="165"/>
      <c r="G29" s="164"/>
      <c r="H29" s="164"/>
      <c r="I29" s="164"/>
      <c r="J29" s="164"/>
      <c r="K29" s="165"/>
      <c r="L29" s="164"/>
      <c r="M29" s="164"/>
      <c r="N29" s="164"/>
      <c r="O29" s="164"/>
      <c r="P29" s="166"/>
      <c r="Q29" s="164"/>
      <c r="R29" s="164"/>
      <c r="S29" s="164"/>
      <c r="T29" s="164"/>
      <c r="U29" s="166"/>
      <c r="V29" s="164"/>
      <c r="W29" s="78">
        <v>0</v>
      </c>
      <c r="X29" s="78">
        <v>0</v>
      </c>
      <c r="Y29" s="78">
        <v>0</v>
      </c>
      <c r="Z29" s="144">
        <v>0</v>
      </c>
      <c r="AA29" s="78">
        <v>0</v>
      </c>
      <c r="AB29" s="78">
        <v>0</v>
      </c>
      <c r="AC29" s="78">
        <v>0</v>
      </c>
      <c r="AD29" s="78">
        <v>0</v>
      </c>
      <c r="AE29" s="144">
        <v>0</v>
      </c>
      <c r="AF29" s="78">
        <v>0</v>
      </c>
      <c r="AG29" s="78">
        <v>0</v>
      </c>
      <c r="AH29" s="78">
        <v>0</v>
      </c>
      <c r="AI29" s="78">
        <v>0</v>
      </c>
      <c r="AJ29" s="144">
        <v>0</v>
      </c>
      <c r="AK29" s="78">
        <v>0</v>
      </c>
      <c r="AL29" s="78">
        <v>65684</v>
      </c>
      <c r="AM29" s="78">
        <v>-1764</v>
      </c>
      <c r="AN29" s="78">
        <v>-699</v>
      </c>
      <c r="AO29" s="144">
        <f>SUM(AL29:AN29)</f>
        <v>63221</v>
      </c>
    </row>
    <row r="30" spans="1:41" ht="14.1" customHeight="1" thickBot="1" x14ac:dyDescent="0.3">
      <c r="A30" s="22" t="s">
        <v>218</v>
      </c>
      <c r="F30" s="9"/>
      <c r="K30" s="9"/>
      <c r="P30" s="100"/>
      <c r="U30" s="100"/>
      <c r="W30" s="77">
        <v>0</v>
      </c>
      <c r="X30" s="77">
        <v>0</v>
      </c>
      <c r="Y30" s="77">
        <v>0</v>
      </c>
      <c r="Z30" s="77">
        <v>0</v>
      </c>
      <c r="AA30" s="77">
        <v>0</v>
      </c>
      <c r="AB30" s="77">
        <v>0</v>
      </c>
      <c r="AC30" s="77">
        <v>0</v>
      </c>
      <c r="AD30" s="77">
        <v>0</v>
      </c>
      <c r="AE30" s="145">
        <v>0</v>
      </c>
      <c r="AF30" s="77">
        <v>0</v>
      </c>
      <c r="AG30" s="77">
        <v>0</v>
      </c>
      <c r="AH30" s="77">
        <v>0</v>
      </c>
      <c r="AI30" s="77">
        <v>0</v>
      </c>
      <c r="AJ30" s="145">
        <v>0</v>
      </c>
      <c r="AK30" s="77">
        <v>0</v>
      </c>
      <c r="AL30" s="77">
        <f>SUM(AL29)</f>
        <v>65684</v>
      </c>
      <c r="AM30" s="77">
        <f>SUM(AM29)</f>
        <v>-1764</v>
      </c>
      <c r="AN30" s="77">
        <f>SUM(AN29)</f>
        <v>-699</v>
      </c>
      <c r="AO30" s="145">
        <f>SUM(AO28:AO29)</f>
        <v>63221</v>
      </c>
    </row>
    <row r="31" spans="1:41" ht="14.1" customHeight="1" x14ac:dyDescent="0.25">
      <c r="A31" s="22"/>
      <c r="F31" s="9"/>
      <c r="K31" s="9"/>
      <c r="P31" s="100"/>
      <c r="U31" s="100"/>
      <c r="W31" s="164"/>
      <c r="X31" s="164"/>
      <c r="Y31" s="164"/>
      <c r="Z31" s="164"/>
      <c r="AA31" s="164"/>
      <c r="AB31" s="164"/>
      <c r="AC31" s="164"/>
      <c r="AD31" s="164"/>
      <c r="AE31" s="166"/>
      <c r="AF31" s="164"/>
      <c r="AG31" s="164"/>
      <c r="AH31" s="164"/>
      <c r="AI31" s="164"/>
      <c r="AJ31" s="166"/>
      <c r="AK31" s="164"/>
      <c r="AL31" s="164"/>
      <c r="AM31" s="164"/>
      <c r="AN31" s="164"/>
      <c r="AO31" s="166"/>
    </row>
    <row r="32" spans="1:41" ht="14.1" customHeight="1" thickTop="1" x14ac:dyDescent="0.25">
      <c r="A32" s="18" t="s">
        <v>191</v>
      </c>
      <c r="F32" s="9"/>
      <c r="K32" s="9"/>
      <c r="P32" s="100"/>
      <c r="U32" s="100"/>
      <c r="Z32" s="100"/>
      <c r="AE32" s="100"/>
      <c r="AJ32" s="100"/>
      <c r="AO32" s="100"/>
    </row>
    <row r="33" spans="1:41" ht="15" customHeight="1" x14ac:dyDescent="0.25">
      <c r="A33" s="21" t="s">
        <v>205</v>
      </c>
      <c r="B33" s="38">
        <f>'Reconciliation Adj EBITDA'!B25</f>
        <v>109</v>
      </c>
      <c r="C33" s="38">
        <f>'Reconciliation Adj EBITDA'!C25</f>
        <v>115</v>
      </c>
      <c r="D33" s="38">
        <f>'Reconciliation Adj EBITDA'!D25</f>
        <v>54</v>
      </c>
      <c r="E33" s="38">
        <f>'Reconciliation Adj EBITDA'!E25</f>
        <v>46</v>
      </c>
      <c r="F33" s="49">
        <f>'Reconciliation Adj EBITDA'!F25</f>
        <v>324</v>
      </c>
      <c r="G33" s="38">
        <f>'Reconciliation Adj EBITDA'!G25</f>
        <v>40</v>
      </c>
      <c r="H33" s="38">
        <f>'Reconciliation Adj EBITDA'!H25</f>
        <v>44</v>
      </c>
      <c r="I33" s="38">
        <f>'Reconciliation Adj EBITDA'!I25</f>
        <v>3</v>
      </c>
      <c r="J33" s="38">
        <f>'Reconciliation Adj EBITDA'!J25</f>
        <v>-3</v>
      </c>
      <c r="K33" s="49">
        <f>'Reconciliation Adj EBITDA'!K25</f>
        <v>85</v>
      </c>
      <c r="L33" s="38">
        <f>'Reconciliation Adj EBITDA'!L25</f>
        <v>0</v>
      </c>
      <c r="M33" s="38">
        <f>'Reconciliation Adj EBITDA'!M25</f>
        <v>0</v>
      </c>
      <c r="N33" s="38">
        <f>'Reconciliation Adj EBITDA'!N25</f>
        <v>0</v>
      </c>
      <c r="O33" s="38">
        <f>'Reconciliation Adj EBITDA'!O25</f>
        <v>0</v>
      </c>
      <c r="P33" s="105">
        <f>'Reconciliation Adj EBITDA'!P25</f>
        <v>0</v>
      </c>
      <c r="Q33" s="38">
        <f>'Reconciliation Adj EBITDA'!Q25</f>
        <v>0</v>
      </c>
      <c r="R33" s="38">
        <f>'Reconciliation Adj EBITDA'!R25</f>
        <v>0</v>
      </c>
      <c r="S33" s="38">
        <f>'Reconciliation Adj EBITDA'!S25</f>
        <v>0</v>
      </c>
      <c r="T33" s="38">
        <f>'Reconciliation Adj EBITDA'!T25</f>
        <v>0</v>
      </c>
      <c r="U33" s="105">
        <f>'Reconciliation Adj EBITDA'!U25</f>
        <v>0</v>
      </c>
      <c r="V33" s="38">
        <f>'Reconciliation Adj EBITDA'!V25</f>
        <v>0</v>
      </c>
      <c r="W33" s="38">
        <f>'Reconciliation Adj EBITDA'!W25</f>
        <v>0</v>
      </c>
      <c r="X33" s="38">
        <f>'Reconciliation Adj EBITDA'!X25</f>
        <v>0</v>
      </c>
      <c r="Y33" s="38">
        <f>'Reconciliation Adj EBITDA'!Y25</f>
        <v>0</v>
      </c>
      <c r="Z33" s="105">
        <f>'Reconciliation Adj EBITDA'!Z25</f>
        <v>0</v>
      </c>
      <c r="AA33" s="38">
        <f>'Reconciliation Adj EBITDA'!AA25</f>
        <v>0</v>
      </c>
      <c r="AB33" s="38">
        <f>'Reconciliation Adj EBITDA'!AB25</f>
        <v>0</v>
      </c>
      <c r="AC33" s="38">
        <f>'Reconciliation Adj EBITDA'!AC25</f>
        <v>0</v>
      </c>
      <c r="AD33" s="38">
        <f>'Reconciliation Adj EBITDA'!AD25</f>
        <v>0</v>
      </c>
      <c r="AE33" s="105">
        <f>'Reconciliation Adj EBITDA'!AE25</f>
        <v>0</v>
      </c>
      <c r="AF33" s="38">
        <f>'Reconciliation Adj EBITDA'!AF25</f>
        <v>0</v>
      </c>
      <c r="AG33" s="38">
        <f>'Reconciliation Adj EBITDA'!AG25</f>
        <v>0</v>
      </c>
      <c r="AH33" s="38">
        <f>'Reconciliation Adj EBITDA'!AH25</f>
        <v>0</v>
      </c>
      <c r="AI33" s="38">
        <f>'Reconciliation Adj EBITDA'!AI25</f>
        <v>0</v>
      </c>
      <c r="AJ33" s="105">
        <f>'Reconciliation Adj EBITDA'!AJ25</f>
        <v>0</v>
      </c>
      <c r="AK33" s="38">
        <f>'Reconciliation Adj EBITDA'!AK25</f>
        <v>0</v>
      </c>
      <c r="AL33" s="38">
        <f>'Reconciliation Adj EBITDA'!AL25</f>
        <v>0</v>
      </c>
      <c r="AM33" s="38">
        <f>'Reconciliation Adj EBITDA'!AM25</f>
        <v>0</v>
      </c>
      <c r="AN33" s="38">
        <f>'Reconciliation Adj EBITDA'!AN25</f>
        <v>0</v>
      </c>
      <c r="AO33" s="105">
        <f>'Reconciliation Adj EBITDA'!AO25</f>
        <v>0</v>
      </c>
    </row>
    <row r="34" spans="1:41" ht="15" customHeight="1" x14ac:dyDescent="0.25">
      <c r="A34" s="21" t="s">
        <v>207</v>
      </c>
      <c r="B34" s="38">
        <f>'Reconciliation Adj EBITDA'!B26</f>
        <v>0</v>
      </c>
      <c r="C34" s="38">
        <f>'Reconciliation Adj EBITDA'!C26</f>
        <v>0</v>
      </c>
      <c r="D34" s="38">
        <f>'Reconciliation Adj EBITDA'!D26</f>
        <v>0</v>
      </c>
      <c r="E34" s="38">
        <f>'Reconciliation Adj EBITDA'!E26</f>
        <v>-2218</v>
      </c>
      <c r="F34" s="49">
        <f>'Reconciliation Adj EBITDA'!F26</f>
        <v>-2218</v>
      </c>
      <c r="G34" s="38">
        <f>'Reconciliation Adj EBITDA'!G26</f>
        <v>0</v>
      </c>
      <c r="H34" s="38">
        <f>'Reconciliation Adj EBITDA'!H26</f>
        <v>0</v>
      </c>
      <c r="I34" s="38">
        <f>'Reconciliation Adj EBITDA'!I26</f>
        <v>0</v>
      </c>
      <c r="J34" s="38">
        <f>'Reconciliation Adj EBITDA'!J26</f>
        <v>0</v>
      </c>
      <c r="K34" s="49">
        <f>'Reconciliation Adj EBITDA'!K26</f>
        <v>0</v>
      </c>
      <c r="L34" s="38">
        <f>'Reconciliation Adj EBITDA'!L26</f>
        <v>0</v>
      </c>
      <c r="M34" s="38">
        <f>'Reconciliation Adj EBITDA'!M26</f>
        <v>0</v>
      </c>
      <c r="N34" s="38">
        <f>'Reconciliation Adj EBITDA'!N26</f>
        <v>0</v>
      </c>
      <c r="O34" s="38">
        <f>'Reconciliation Adj EBITDA'!O26</f>
        <v>0</v>
      </c>
      <c r="P34" s="105">
        <f>'Reconciliation Adj EBITDA'!P26</f>
        <v>0</v>
      </c>
      <c r="Q34" s="38">
        <f>'Reconciliation Adj EBITDA'!Q26</f>
        <v>0</v>
      </c>
      <c r="R34" s="38">
        <f>'Reconciliation Adj EBITDA'!R26</f>
        <v>0</v>
      </c>
      <c r="S34" s="38">
        <f>'Reconciliation Adj EBITDA'!S26</f>
        <v>0</v>
      </c>
      <c r="T34" s="38">
        <f>'Reconciliation Adj EBITDA'!T26</f>
        <v>0</v>
      </c>
      <c r="U34" s="105">
        <f>'Reconciliation Adj EBITDA'!U26</f>
        <v>0</v>
      </c>
      <c r="V34" s="38">
        <f>'Reconciliation Adj EBITDA'!V26</f>
        <v>0</v>
      </c>
      <c r="W34" s="38">
        <f>'Reconciliation Adj EBITDA'!W26</f>
        <v>0</v>
      </c>
      <c r="X34" s="38">
        <f>'Reconciliation Adj EBITDA'!X26</f>
        <v>0</v>
      </c>
      <c r="Y34" s="38">
        <f>'Reconciliation Adj EBITDA'!Y26</f>
        <v>0</v>
      </c>
      <c r="Z34" s="105">
        <f>'Reconciliation Adj EBITDA'!Z26</f>
        <v>0</v>
      </c>
      <c r="AA34" s="38">
        <f>'Reconciliation Adj EBITDA'!AA26</f>
        <v>0</v>
      </c>
      <c r="AB34" s="38">
        <f>'Reconciliation Adj EBITDA'!AB26</f>
        <v>0</v>
      </c>
      <c r="AC34" s="38">
        <f>'Reconciliation Adj EBITDA'!AC26</f>
        <v>0</v>
      </c>
      <c r="AD34" s="38">
        <f>'Reconciliation Adj EBITDA'!AD26</f>
        <v>0</v>
      </c>
      <c r="AE34" s="105">
        <f>'Reconciliation Adj EBITDA'!AE26</f>
        <v>0</v>
      </c>
      <c r="AF34" s="38">
        <f>'Reconciliation Adj EBITDA'!AF26</f>
        <v>0</v>
      </c>
      <c r="AG34" s="38">
        <f>'Reconciliation Adj EBITDA'!AG26</f>
        <v>0</v>
      </c>
      <c r="AH34" s="38">
        <f>'Reconciliation Adj EBITDA'!AH26</f>
        <v>0</v>
      </c>
      <c r="AI34" s="38">
        <f>'Reconciliation Adj EBITDA'!AI26</f>
        <v>0</v>
      </c>
      <c r="AJ34" s="105">
        <f>'Reconciliation Adj EBITDA'!AJ26</f>
        <v>0</v>
      </c>
      <c r="AK34" s="38">
        <f>'Reconciliation Adj EBITDA'!AK26</f>
        <v>0</v>
      </c>
      <c r="AL34" s="38">
        <f>'Reconciliation Adj EBITDA'!AL26</f>
        <v>0</v>
      </c>
      <c r="AM34" s="38">
        <f>'Reconciliation Adj EBITDA'!AM26</f>
        <v>0</v>
      </c>
      <c r="AN34" s="38">
        <f>'Reconciliation Adj EBITDA'!AN26</f>
        <v>0</v>
      </c>
      <c r="AO34" s="105">
        <f>'Reconciliation Adj EBITDA'!AO26</f>
        <v>0</v>
      </c>
    </row>
    <row r="35" spans="1:41" ht="14.1" customHeight="1" thickBot="1" x14ac:dyDescent="0.3">
      <c r="A35" s="22" t="s">
        <v>219</v>
      </c>
      <c r="B35" s="77">
        <f t="shared" ref="B35:Q35" si="27">SUM(B33:B34)</f>
        <v>109</v>
      </c>
      <c r="C35" s="77">
        <f t="shared" si="27"/>
        <v>115</v>
      </c>
      <c r="D35" s="77">
        <f t="shared" si="27"/>
        <v>54</v>
      </c>
      <c r="E35" s="77">
        <f t="shared" si="27"/>
        <v>-2172</v>
      </c>
      <c r="F35" s="81">
        <f t="shared" si="27"/>
        <v>-1894</v>
      </c>
      <c r="G35" s="77">
        <f t="shared" si="27"/>
        <v>40</v>
      </c>
      <c r="H35" s="77">
        <f t="shared" si="27"/>
        <v>44</v>
      </c>
      <c r="I35" s="77">
        <f t="shared" si="27"/>
        <v>3</v>
      </c>
      <c r="J35" s="77">
        <f t="shared" si="27"/>
        <v>-3</v>
      </c>
      <c r="K35" s="81">
        <f t="shared" si="27"/>
        <v>85</v>
      </c>
      <c r="L35" s="77">
        <f t="shared" si="27"/>
        <v>0</v>
      </c>
      <c r="M35" s="77">
        <f t="shared" si="27"/>
        <v>0</v>
      </c>
      <c r="N35" s="77">
        <f t="shared" si="27"/>
        <v>0</v>
      </c>
      <c r="O35" s="77">
        <f t="shared" si="27"/>
        <v>0</v>
      </c>
      <c r="P35" s="145">
        <f t="shared" si="27"/>
        <v>0</v>
      </c>
      <c r="Q35" s="77">
        <f t="shared" si="27"/>
        <v>0</v>
      </c>
      <c r="R35" s="77">
        <f t="shared" ref="R35:V35" si="28">SUM(R33:R34)</f>
        <v>0</v>
      </c>
      <c r="S35" s="77">
        <f t="shared" si="28"/>
        <v>0</v>
      </c>
      <c r="T35" s="77">
        <f t="shared" si="28"/>
        <v>0</v>
      </c>
      <c r="U35" s="145">
        <f t="shared" si="28"/>
        <v>0</v>
      </c>
      <c r="V35" s="77">
        <f t="shared" si="28"/>
        <v>0</v>
      </c>
      <c r="W35" s="77">
        <f t="shared" ref="W35:AA35" si="29">SUM(W33:W34)</f>
        <v>0</v>
      </c>
      <c r="X35" s="77">
        <f t="shared" si="29"/>
        <v>0</v>
      </c>
      <c r="Y35" s="77">
        <f t="shared" si="29"/>
        <v>0</v>
      </c>
      <c r="Z35" s="145">
        <f t="shared" si="29"/>
        <v>0</v>
      </c>
      <c r="AA35" s="77">
        <f t="shared" si="29"/>
        <v>0</v>
      </c>
      <c r="AB35" s="77">
        <f t="shared" ref="AB35:AF35" si="30">SUM(AB33:AB34)</f>
        <v>0</v>
      </c>
      <c r="AC35" s="77">
        <f t="shared" si="30"/>
        <v>0</v>
      </c>
      <c r="AD35" s="77">
        <f t="shared" si="30"/>
        <v>0</v>
      </c>
      <c r="AE35" s="145">
        <f t="shared" si="30"/>
        <v>0</v>
      </c>
      <c r="AF35" s="77">
        <f t="shared" si="30"/>
        <v>0</v>
      </c>
      <c r="AG35" s="77">
        <f t="shared" ref="AG35:AK35" si="31">SUM(AG33:AG34)</f>
        <v>0</v>
      </c>
      <c r="AH35" s="77">
        <f t="shared" si="31"/>
        <v>0</v>
      </c>
      <c r="AI35" s="77">
        <f t="shared" si="31"/>
        <v>0</v>
      </c>
      <c r="AJ35" s="145">
        <f t="shared" si="31"/>
        <v>0</v>
      </c>
      <c r="AK35" s="77">
        <f t="shared" si="31"/>
        <v>0</v>
      </c>
      <c r="AL35" s="77">
        <f t="shared" ref="AL35:AO35" si="32">SUM(AL33:AL34)</f>
        <v>0</v>
      </c>
      <c r="AM35" s="77">
        <f t="shared" si="32"/>
        <v>0</v>
      </c>
      <c r="AN35" s="77">
        <f t="shared" si="32"/>
        <v>0</v>
      </c>
      <c r="AO35" s="145">
        <f t="shared" si="32"/>
        <v>0</v>
      </c>
    </row>
    <row r="36" spans="1:41" ht="15" customHeight="1" thickTop="1" x14ac:dyDescent="0.25">
      <c r="F36" s="9"/>
      <c r="K36" s="9"/>
      <c r="P36" s="100"/>
      <c r="U36" s="100"/>
      <c r="Z36" s="100"/>
      <c r="AE36" s="100"/>
      <c r="AJ36" s="100"/>
      <c r="AO36" s="100"/>
    </row>
    <row r="37" spans="1:41" ht="15" customHeight="1" x14ac:dyDescent="0.25">
      <c r="A37" s="18" t="s">
        <v>190</v>
      </c>
      <c r="F37" s="9"/>
      <c r="K37" s="9"/>
      <c r="P37" s="100"/>
      <c r="U37" s="100"/>
      <c r="Z37" s="100"/>
      <c r="AE37" s="100"/>
      <c r="AJ37" s="100"/>
      <c r="AO37" s="100"/>
    </row>
    <row r="38" spans="1:41" ht="15" customHeight="1" x14ac:dyDescent="0.25">
      <c r="A38" s="21" t="s">
        <v>101</v>
      </c>
      <c r="B38" s="38">
        <f>'Reconciliation Adj EBITDA'!B30</f>
        <v>0</v>
      </c>
      <c r="C38" s="38">
        <f>'Reconciliation Adj EBITDA'!C30</f>
        <v>0</v>
      </c>
      <c r="D38" s="38">
        <f>'Reconciliation Adj EBITDA'!D30</f>
        <v>0</v>
      </c>
      <c r="E38" s="38">
        <f>'Reconciliation Adj EBITDA'!E30</f>
        <v>0</v>
      </c>
      <c r="F38" s="49">
        <f>'Reconciliation Adj EBITDA'!F30</f>
        <v>0</v>
      </c>
      <c r="G38" s="38">
        <f>'Reconciliation Adj EBITDA'!G30</f>
        <v>0</v>
      </c>
      <c r="H38" s="38">
        <f>'Reconciliation Adj EBITDA'!H30</f>
        <v>0</v>
      </c>
      <c r="I38" s="38">
        <f>'Reconciliation Adj EBITDA'!I30</f>
        <v>0</v>
      </c>
      <c r="J38" s="38">
        <f>'Reconciliation Adj EBITDA'!J30</f>
        <v>0</v>
      </c>
      <c r="K38" s="49">
        <f>'Reconciliation Adj EBITDA'!K30</f>
        <v>0</v>
      </c>
      <c r="L38" s="38">
        <f>'Reconciliation Adj EBITDA'!L30</f>
        <v>0</v>
      </c>
      <c r="M38" s="38">
        <f>'Reconciliation Adj EBITDA'!M30</f>
        <v>2497</v>
      </c>
      <c r="N38" s="38">
        <f>'Reconciliation Adj EBITDA'!N30</f>
        <v>0</v>
      </c>
      <c r="O38" s="38">
        <f>'Reconciliation Adj EBITDA'!O30</f>
        <v>0</v>
      </c>
      <c r="P38" s="105">
        <f>'Reconciliation Adj EBITDA'!P30</f>
        <v>2497</v>
      </c>
      <c r="Q38" s="38">
        <f>'Reconciliation Adj EBITDA'!Q30</f>
        <v>0</v>
      </c>
      <c r="R38" s="38">
        <f>'Reconciliation Adj EBITDA'!R30</f>
        <v>0</v>
      </c>
      <c r="S38" s="38">
        <f>'Reconciliation Adj EBITDA'!S30</f>
        <v>0</v>
      </c>
      <c r="T38" s="38">
        <f>'Reconciliation Adj EBITDA'!T30</f>
        <v>0</v>
      </c>
      <c r="U38" s="105">
        <f>'Reconciliation Adj EBITDA'!U30</f>
        <v>0</v>
      </c>
      <c r="V38" s="38">
        <f>'Reconciliation Adj EBITDA'!V30</f>
        <v>0</v>
      </c>
      <c r="W38" s="38">
        <f>'Reconciliation Adj EBITDA'!W30</f>
        <v>0</v>
      </c>
      <c r="X38" s="38">
        <f>'Reconciliation Adj EBITDA'!X30</f>
        <v>0</v>
      </c>
      <c r="Y38" s="38">
        <f>'Reconciliation Adj EBITDA'!Y30</f>
        <v>0</v>
      </c>
      <c r="Z38" s="105">
        <f>'Reconciliation Adj EBITDA'!Z30</f>
        <v>0</v>
      </c>
      <c r="AA38" s="38">
        <f>'Reconciliation Adj EBITDA'!AA30</f>
        <v>0</v>
      </c>
      <c r="AB38" s="38">
        <f>'Reconciliation Adj EBITDA'!AB30</f>
        <v>0</v>
      </c>
      <c r="AC38" s="38">
        <f>'Reconciliation Adj EBITDA'!AC30</f>
        <v>0</v>
      </c>
      <c r="AD38" s="38">
        <f>'Reconciliation Adj EBITDA'!AD30</f>
        <v>0</v>
      </c>
      <c r="AE38" s="105">
        <f>'Reconciliation Adj EBITDA'!AE30</f>
        <v>0</v>
      </c>
      <c r="AF38" s="38">
        <f>'Reconciliation Adj EBITDA'!AF30</f>
        <v>0</v>
      </c>
      <c r="AG38" s="38">
        <f>'Reconciliation Adj EBITDA'!AG30</f>
        <v>0</v>
      </c>
      <c r="AH38" s="38">
        <f>'Reconciliation Adj EBITDA'!AH30</f>
        <v>0</v>
      </c>
      <c r="AI38" s="38">
        <f>'Reconciliation Adj EBITDA'!AI30</f>
        <v>0</v>
      </c>
      <c r="AJ38" s="105">
        <f>'Reconciliation Adj EBITDA'!AJ30</f>
        <v>0</v>
      </c>
      <c r="AK38" s="38">
        <f>'Reconciliation Adj EBITDA'!AK30</f>
        <v>0</v>
      </c>
      <c r="AL38" s="38">
        <f>'Reconciliation Adj EBITDA'!AL30</f>
        <v>0</v>
      </c>
      <c r="AM38" s="38">
        <f>'Reconciliation Adj EBITDA'!AM30</f>
        <v>0</v>
      </c>
      <c r="AN38" s="38">
        <f>'Reconciliation Adj EBITDA'!AN30</f>
        <v>0</v>
      </c>
      <c r="AO38" s="105">
        <f>'Reconciliation Adj EBITDA'!AO30</f>
        <v>0</v>
      </c>
    </row>
    <row r="39" spans="1:41" ht="15" customHeight="1" x14ac:dyDescent="0.25">
      <c r="A39" s="21" t="s">
        <v>205</v>
      </c>
      <c r="B39" s="38">
        <f>'Reconciliation Adj EBITDA'!B31</f>
        <v>0</v>
      </c>
      <c r="C39" s="38">
        <f>'Reconciliation Adj EBITDA'!C31</f>
        <v>0</v>
      </c>
      <c r="D39" s="38">
        <f>'Reconciliation Adj EBITDA'!D31</f>
        <v>0</v>
      </c>
      <c r="E39" s="38">
        <f>'Reconciliation Adj EBITDA'!E31</f>
        <v>0</v>
      </c>
      <c r="F39" s="49">
        <f>'Reconciliation Adj EBITDA'!F31</f>
        <v>0</v>
      </c>
      <c r="G39" s="38">
        <f>'Reconciliation Adj EBITDA'!G31</f>
        <v>0</v>
      </c>
      <c r="H39" s="38">
        <f>'Reconciliation Adj EBITDA'!H31</f>
        <v>0</v>
      </c>
      <c r="I39" s="38">
        <f>'Reconciliation Adj EBITDA'!I31</f>
        <v>0</v>
      </c>
      <c r="J39" s="38">
        <f>'Reconciliation Adj EBITDA'!J31</f>
        <v>0</v>
      </c>
      <c r="K39" s="49">
        <f>'Reconciliation Adj EBITDA'!K31</f>
        <v>0</v>
      </c>
      <c r="L39" s="38">
        <f>'Reconciliation Adj EBITDA'!L31</f>
        <v>0</v>
      </c>
      <c r="M39" s="38">
        <f>'Reconciliation Adj EBITDA'!M31</f>
        <v>0</v>
      </c>
      <c r="N39" s="38">
        <f>'Reconciliation Adj EBITDA'!N31</f>
        <v>0</v>
      </c>
      <c r="O39" s="38">
        <f>'Reconciliation Adj EBITDA'!O31</f>
        <v>2911</v>
      </c>
      <c r="P39" s="105">
        <f>'Reconciliation Adj EBITDA'!P31</f>
        <v>2911</v>
      </c>
      <c r="Q39" s="38">
        <f>'Reconciliation Adj EBITDA'!Q31</f>
        <v>-348</v>
      </c>
      <c r="R39" s="38">
        <f>'Reconciliation Adj EBITDA'!R31</f>
        <v>16</v>
      </c>
      <c r="S39" s="38">
        <f>'Reconciliation Adj EBITDA'!S31</f>
        <v>0</v>
      </c>
      <c r="T39" s="38">
        <f>'Reconciliation Adj EBITDA'!T31</f>
        <v>0</v>
      </c>
      <c r="U39" s="105">
        <f>'Reconciliation Adj EBITDA'!U31</f>
        <v>-332</v>
      </c>
      <c r="V39" s="38">
        <f>'Reconciliation Adj EBITDA'!V31</f>
        <v>0</v>
      </c>
      <c r="W39" s="38">
        <f>'Reconciliation Adj EBITDA'!W31</f>
        <v>124</v>
      </c>
      <c r="X39" s="38">
        <f>'Reconciliation Adj EBITDA'!X31</f>
        <v>172</v>
      </c>
      <c r="Y39" s="38">
        <f>'Reconciliation Adj EBITDA'!Y31</f>
        <v>1704</v>
      </c>
      <c r="Z39" s="105">
        <f>'Reconciliation Adj EBITDA'!Z31</f>
        <v>2000</v>
      </c>
      <c r="AA39" s="38">
        <f>'Reconciliation Adj EBITDA'!AA31</f>
        <v>995</v>
      </c>
      <c r="AB39" s="38">
        <f>'Reconciliation Adj EBITDA'!AB31</f>
        <v>513</v>
      </c>
      <c r="AC39" s="38">
        <f>'Reconciliation Adj EBITDA'!AC31</f>
        <v>1985</v>
      </c>
      <c r="AD39" s="38">
        <f>'Reconciliation Adj EBITDA'!AD31</f>
        <v>747</v>
      </c>
      <c r="AE39" s="105">
        <f>'Reconciliation Adj EBITDA'!AE31</f>
        <v>4240</v>
      </c>
      <c r="AF39" s="38">
        <f>'Reconciliation Adj EBITDA'!AF31</f>
        <v>1436</v>
      </c>
      <c r="AG39" s="38">
        <f>'Reconciliation Adj EBITDA'!AG31</f>
        <v>4831</v>
      </c>
      <c r="AH39" s="38">
        <f>'Reconciliation Adj EBITDA'!AH31</f>
        <v>-1029</v>
      </c>
      <c r="AI39" s="38">
        <f>'Reconciliation Adj EBITDA'!AI31</f>
        <v>513</v>
      </c>
      <c r="AJ39" s="105">
        <f>'Reconciliation Adj EBITDA'!AJ31</f>
        <v>5751</v>
      </c>
      <c r="AK39" s="38">
        <f>'Reconciliation Adj EBITDA'!AK31</f>
        <v>9</v>
      </c>
      <c r="AL39" s="38">
        <f>'Reconciliation Adj EBITDA'!AL31</f>
        <v>1029</v>
      </c>
      <c r="AM39" s="38">
        <f>'Reconciliation Adj EBITDA'!AM31</f>
        <v>-53</v>
      </c>
      <c r="AN39" s="38">
        <f>'Reconciliation Adj EBITDA'!AN31</f>
        <v>633</v>
      </c>
      <c r="AO39" s="105">
        <f>'Reconciliation Adj EBITDA'!AO31</f>
        <v>1618</v>
      </c>
    </row>
    <row r="40" spans="1:41" ht="15" customHeight="1" x14ac:dyDescent="0.25">
      <c r="A40" s="21" t="s">
        <v>206</v>
      </c>
      <c r="B40" s="38">
        <f>'Reconciliation Adj EBITDA'!B32</f>
        <v>0</v>
      </c>
      <c r="C40" s="38">
        <f>'Reconciliation Adj EBITDA'!C32</f>
        <v>0</v>
      </c>
      <c r="D40" s="38">
        <f>'Reconciliation Adj EBITDA'!D32</f>
        <v>0</v>
      </c>
      <c r="E40" s="38">
        <f>'Reconciliation Adj EBITDA'!E32</f>
        <v>0</v>
      </c>
      <c r="F40" s="49">
        <f>'Reconciliation Adj EBITDA'!F32</f>
        <v>0</v>
      </c>
      <c r="G40" s="38">
        <f>'Reconciliation Adj EBITDA'!G32</f>
        <v>0</v>
      </c>
      <c r="H40" s="38">
        <f>'Reconciliation Adj EBITDA'!H32</f>
        <v>0</v>
      </c>
      <c r="I40" s="38">
        <f>'Reconciliation Adj EBITDA'!I32</f>
        <v>0</v>
      </c>
      <c r="J40" s="38">
        <f>'Reconciliation Adj EBITDA'!J32</f>
        <v>0</v>
      </c>
      <c r="K40" s="49">
        <f>'Reconciliation Adj EBITDA'!K32</f>
        <v>0</v>
      </c>
      <c r="L40" s="38">
        <f>'Reconciliation Adj EBITDA'!L32</f>
        <v>0</v>
      </c>
      <c r="M40" s="38">
        <f>'Reconciliation Adj EBITDA'!M32</f>
        <v>690</v>
      </c>
      <c r="N40" s="38">
        <f>'Reconciliation Adj EBITDA'!N32</f>
        <v>0</v>
      </c>
      <c r="O40" s="38">
        <f>'Reconciliation Adj EBITDA'!O32</f>
        <v>1135</v>
      </c>
      <c r="P40" s="105">
        <f>'Reconciliation Adj EBITDA'!P32</f>
        <v>1825</v>
      </c>
      <c r="Q40" s="38">
        <f>'Reconciliation Adj EBITDA'!Q32</f>
        <v>107</v>
      </c>
      <c r="R40" s="38">
        <f>'Reconciliation Adj EBITDA'!R32</f>
        <v>183</v>
      </c>
      <c r="S40" s="38">
        <f>'Reconciliation Adj EBITDA'!S32</f>
        <v>0</v>
      </c>
      <c r="T40" s="38">
        <f>'Reconciliation Adj EBITDA'!T32</f>
        <v>0</v>
      </c>
      <c r="U40" s="105">
        <f>'Reconciliation Adj EBITDA'!U32</f>
        <v>290</v>
      </c>
      <c r="V40" s="38">
        <f>'Reconciliation Adj EBITDA'!V32</f>
        <v>1890</v>
      </c>
      <c r="W40" s="38">
        <f>'Reconciliation Adj EBITDA'!W32</f>
        <v>175</v>
      </c>
      <c r="X40" s="38">
        <f>'Reconciliation Adj EBITDA'!X32</f>
        <v>131</v>
      </c>
      <c r="Y40" s="38">
        <f>'Reconciliation Adj EBITDA'!Y32</f>
        <v>6614</v>
      </c>
      <c r="Z40" s="105">
        <f>'Reconciliation Adj EBITDA'!Z32</f>
        <v>8810</v>
      </c>
      <c r="AA40" s="38">
        <f>'Reconciliation Adj EBITDA'!AA32</f>
        <v>1021</v>
      </c>
      <c r="AB40" s="38">
        <f>'Reconciliation Adj EBITDA'!AB32</f>
        <v>415</v>
      </c>
      <c r="AC40" s="38">
        <f>'Reconciliation Adj EBITDA'!AC32</f>
        <v>5357</v>
      </c>
      <c r="AD40" s="38">
        <f>'Reconciliation Adj EBITDA'!AD32</f>
        <v>2605</v>
      </c>
      <c r="AE40" s="105">
        <f>'Reconciliation Adj EBITDA'!AE32</f>
        <v>9398</v>
      </c>
      <c r="AF40" s="38">
        <f>'Reconciliation Adj EBITDA'!AF32</f>
        <v>7367</v>
      </c>
      <c r="AG40" s="38">
        <f>'Reconciliation Adj EBITDA'!AG32</f>
        <v>1551</v>
      </c>
      <c r="AH40" s="38">
        <f>'Reconciliation Adj EBITDA'!AH32</f>
        <v>-106</v>
      </c>
      <c r="AI40" s="38">
        <f>'Reconciliation Adj EBITDA'!AI32</f>
        <v>568</v>
      </c>
      <c r="AJ40" s="105">
        <f>'Reconciliation Adj EBITDA'!AJ32</f>
        <v>9380</v>
      </c>
      <c r="AK40" s="38">
        <f>'Reconciliation Adj EBITDA'!AK32</f>
        <v>456</v>
      </c>
      <c r="AL40" s="38">
        <f>'Reconciliation Adj EBITDA'!AL32</f>
        <v>4076</v>
      </c>
      <c r="AM40" s="38">
        <f>'Reconciliation Adj EBITDA'!AM32</f>
        <v>-624</v>
      </c>
      <c r="AN40" s="38">
        <f>'Reconciliation Adj EBITDA'!AN32</f>
        <v>408</v>
      </c>
      <c r="AO40" s="105">
        <f>'Reconciliation Adj EBITDA'!AO32</f>
        <v>4316</v>
      </c>
    </row>
    <row r="41" spans="1:41" ht="15" customHeight="1" x14ac:dyDescent="0.25">
      <c r="A41" s="21" t="s">
        <v>207</v>
      </c>
      <c r="B41" s="66">
        <f>'Reconciliation Adj EBITDA'!B33</f>
        <v>0</v>
      </c>
      <c r="C41" s="66">
        <f>'Reconciliation Adj EBITDA'!C33</f>
        <v>0</v>
      </c>
      <c r="D41" s="66">
        <f>'Reconciliation Adj EBITDA'!D33</f>
        <v>0</v>
      </c>
      <c r="E41" s="66">
        <f>'Reconciliation Adj EBITDA'!E33</f>
        <v>0</v>
      </c>
      <c r="F41" s="65">
        <f>'Reconciliation Adj EBITDA'!F33</f>
        <v>0</v>
      </c>
      <c r="G41" s="66">
        <f>'Reconciliation Adj EBITDA'!G33</f>
        <v>0</v>
      </c>
      <c r="H41" s="66">
        <f>'Reconciliation Adj EBITDA'!H33</f>
        <v>0</v>
      </c>
      <c r="I41" s="66">
        <f>'Reconciliation Adj EBITDA'!I33</f>
        <v>0</v>
      </c>
      <c r="J41" s="66">
        <f>'Reconciliation Adj EBITDA'!J33</f>
        <v>0</v>
      </c>
      <c r="K41" s="65">
        <f>'Reconciliation Adj EBITDA'!K33</f>
        <v>0</v>
      </c>
      <c r="L41" s="66">
        <f>'Reconciliation Adj EBITDA'!L33</f>
        <v>0</v>
      </c>
      <c r="M41" s="38">
        <f>'Reconciliation Adj EBITDA'!M33</f>
        <v>112</v>
      </c>
      <c r="N41" s="38">
        <f>'Reconciliation Adj EBITDA'!N33</f>
        <v>0</v>
      </c>
      <c r="O41" s="38">
        <f>'Reconciliation Adj EBITDA'!O33</f>
        <v>11</v>
      </c>
      <c r="P41" s="105">
        <f>'Reconciliation Adj EBITDA'!P33</f>
        <v>123</v>
      </c>
      <c r="Q41" s="38">
        <f>'Reconciliation Adj EBITDA'!Q33</f>
        <v>-11</v>
      </c>
      <c r="R41" s="38">
        <f>'Reconciliation Adj EBITDA'!R33</f>
        <v>0</v>
      </c>
      <c r="S41" s="38">
        <f>'Reconciliation Adj EBITDA'!S33</f>
        <v>0</v>
      </c>
      <c r="T41" s="38">
        <f>'Reconciliation Adj EBITDA'!T33</f>
        <v>0</v>
      </c>
      <c r="U41" s="105">
        <f>'Reconciliation Adj EBITDA'!U33</f>
        <v>-11</v>
      </c>
      <c r="V41" s="38">
        <f>'Reconciliation Adj EBITDA'!V33</f>
        <v>0</v>
      </c>
      <c r="W41" s="38">
        <f>'Reconciliation Adj EBITDA'!W33</f>
        <v>429</v>
      </c>
      <c r="X41" s="38">
        <f>'Reconciliation Adj EBITDA'!X33</f>
        <v>0</v>
      </c>
      <c r="Y41" s="38">
        <f>'Reconciliation Adj EBITDA'!Y33</f>
        <v>2343</v>
      </c>
      <c r="Z41" s="105">
        <f>'Reconciliation Adj EBITDA'!Z33</f>
        <v>2772</v>
      </c>
      <c r="AA41" s="38">
        <f>'Reconciliation Adj EBITDA'!AA33</f>
        <v>193</v>
      </c>
      <c r="AB41" s="38">
        <f>'Reconciliation Adj EBITDA'!AB33</f>
        <v>288</v>
      </c>
      <c r="AC41" s="38">
        <f>'Reconciliation Adj EBITDA'!AC33</f>
        <v>4839</v>
      </c>
      <c r="AD41" s="38">
        <f>'Reconciliation Adj EBITDA'!AD33</f>
        <v>1031</v>
      </c>
      <c r="AE41" s="105">
        <f>'Reconciliation Adj EBITDA'!AE33</f>
        <v>6351</v>
      </c>
      <c r="AF41" s="38">
        <f>'Reconciliation Adj EBITDA'!AF33</f>
        <v>2833</v>
      </c>
      <c r="AG41" s="38">
        <f>'Reconciliation Adj EBITDA'!AG33</f>
        <v>3614</v>
      </c>
      <c r="AH41" s="38">
        <f>'Reconciliation Adj EBITDA'!AH33</f>
        <v>-632</v>
      </c>
      <c r="AI41" s="38">
        <f>'Reconciliation Adj EBITDA'!AI33</f>
        <v>752</v>
      </c>
      <c r="AJ41" s="105">
        <f>'Reconciliation Adj EBITDA'!AJ33</f>
        <v>6567</v>
      </c>
      <c r="AK41" s="38">
        <f>'Reconciliation Adj EBITDA'!AK33</f>
        <v>245</v>
      </c>
      <c r="AL41" s="38">
        <f>'Reconciliation Adj EBITDA'!AL33</f>
        <v>820</v>
      </c>
      <c r="AM41" s="38">
        <f>'Reconciliation Adj EBITDA'!AM33</f>
        <v>596</v>
      </c>
      <c r="AN41" s="38">
        <f>'Reconciliation Adj EBITDA'!AN33</f>
        <v>3082</v>
      </c>
      <c r="AO41" s="105">
        <f>'Reconciliation Adj EBITDA'!AO33</f>
        <v>4743</v>
      </c>
    </row>
    <row r="42" spans="1:41" ht="15" customHeight="1" thickBot="1" x14ac:dyDescent="0.3">
      <c r="A42" s="22" t="s">
        <v>220</v>
      </c>
      <c r="B42" s="95">
        <f t="shared" ref="B42:F42" si="33">SUM(B38:B41)</f>
        <v>0</v>
      </c>
      <c r="C42" s="95">
        <f t="shared" si="33"/>
        <v>0</v>
      </c>
      <c r="D42" s="95">
        <f t="shared" si="33"/>
        <v>0</v>
      </c>
      <c r="E42" s="95">
        <f t="shared" si="33"/>
        <v>0</v>
      </c>
      <c r="F42" s="96">
        <f t="shared" si="33"/>
        <v>0</v>
      </c>
      <c r="G42" s="95">
        <f>SUM(G38:G41)</f>
        <v>0</v>
      </c>
      <c r="H42" s="95">
        <f>SUM(H38:H41)</f>
        <v>0</v>
      </c>
      <c r="I42" s="95">
        <f>SUM(I38:I41)</f>
        <v>0</v>
      </c>
      <c r="J42" s="95">
        <f t="shared" ref="J42:P42" si="34">SUM(J38:J41)</f>
        <v>0</v>
      </c>
      <c r="K42" s="96">
        <f t="shared" si="34"/>
        <v>0</v>
      </c>
      <c r="L42" s="95">
        <f t="shared" si="34"/>
        <v>0</v>
      </c>
      <c r="M42" s="95">
        <f>SUM(M38:M41)</f>
        <v>3299</v>
      </c>
      <c r="N42" s="95">
        <f>SUM(N38:N41)</f>
        <v>0</v>
      </c>
      <c r="O42" s="95">
        <f t="shared" si="34"/>
        <v>4057</v>
      </c>
      <c r="P42" s="146">
        <f t="shared" si="34"/>
        <v>7356</v>
      </c>
      <c r="Q42" s="95">
        <f>SUM(Q38:Q41)</f>
        <v>-252</v>
      </c>
      <c r="R42" s="95">
        <f>SUM(R38:R41)</f>
        <v>199</v>
      </c>
      <c r="S42" s="95">
        <f>SUM(S38:S41)</f>
        <v>0</v>
      </c>
      <c r="T42" s="95">
        <f t="shared" ref="T42:U42" si="35">SUM(T38:T41)</f>
        <v>0</v>
      </c>
      <c r="U42" s="146">
        <f t="shared" si="35"/>
        <v>-53</v>
      </c>
      <c r="V42" s="95">
        <f>SUM(V38:V41)</f>
        <v>1890</v>
      </c>
      <c r="W42" s="95">
        <f>SUM(W38:W41)</f>
        <v>728</v>
      </c>
      <c r="X42" s="95">
        <f>SUM(X38:X41)</f>
        <v>303</v>
      </c>
      <c r="Y42" s="95">
        <f t="shared" ref="Y42:Z42" si="36">SUM(Y38:Y41)</f>
        <v>10661</v>
      </c>
      <c r="Z42" s="146">
        <f t="shared" si="36"/>
        <v>13582</v>
      </c>
      <c r="AA42" s="95">
        <f>SUM(AA38:AA41)</f>
        <v>2209</v>
      </c>
      <c r="AB42" s="95">
        <f>SUM(AB38:AB41)</f>
        <v>1216</v>
      </c>
      <c r="AC42" s="95">
        <f>SUM(AC38:AC41)</f>
        <v>12181</v>
      </c>
      <c r="AD42" s="95">
        <f t="shared" ref="AD42:AE42" si="37">SUM(AD38:AD41)</f>
        <v>4383</v>
      </c>
      <c r="AE42" s="146">
        <f t="shared" si="37"/>
        <v>19989</v>
      </c>
      <c r="AF42" s="95">
        <f>SUM(AF38:AF41)</f>
        <v>11636</v>
      </c>
      <c r="AG42" s="95">
        <f>SUM(AG38:AG41)</f>
        <v>9996</v>
      </c>
      <c r="AH42" s="95">
        <f>SUM(AH38:AH41)</f>
        <v>-1767</v>
      </c>
      <c r="AI42" s="95">
        <f t="shared" ref="AI42:AJ42" si="38">SUM(AI38:AI41)</f>
        <v>1833</v>
      </c>
      <c r="AJ42" s="146">
        <f t="shared" si="38"/>
        <v>21698</v>
      </c>
      <c r="AK42" s="95">
        <f>SUM(AK38:AK41)</f>
        <v>710</v>
      </c>
      <c r="AL42" s="95">
        <f>SUM(AL38:AL41)</f>
        <v>5925</v>
      </c>
      <c r="AM42" s="95">
        <f>SUM(AM38:AM41)</f>
        <v>-81</v>
      </c>
      <c r="AN42" s="95">
        <f t="shared" ref="AN42:AO42" si="39">SUM(AN38:AN41)</f>
        <v>4123</v>
      </c>
      <c r="AO42" s="146">
        <f t="shared" si="39"/>
        <v>10677</v>
      </c>
    </row>
    <row r="43" spans="1:41" ht="15" customHeight="1" thickTop="1" x14ac:dyDescent="0.25">
      <c r="F43" s="9"/>
      <c r="K43" s="9"/>
      <c r="P43" s="100"/>
      <c r="U43" s="100"/>
      <c r="Z43" s="100"/>
      <c r="AE43" s="100"/>
      <c r="AJ43" s="100"/>
      <c r="AO43" s="100"/>
    </row>
    <row r="44" spans="1:41" ht="15" customHeight="1" x14ac:dyDescent="0.25"/>
    <row r="45" spans="1:41" ht="15" customHeight="1" x14ac:dyDescent="0.25"/>
    <row r="46" spans="1:41" ht="15" customHeight="1" x14ac:dyDescent="0.25"/>
    <row r="47" spans="1:41" ht="15" customHeight="1" x14ac:dyDescent="0.25"/>
    <row r="48" spans="1:4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O84"/>
  <sheetViews>
    <sheetView showGridLines="0" zoomScale="82" zoomScaleNormal="82" workbookViewId="0">
      <pane xSplit="11" topLeftCell="AC1" activePane="topRight" state="frozen"/>
      <selection pane="topRight" activeCell="BF44" sqref="BF44"/>
    </sheetView>
  </sheetViews>
  <sheetFormatPr defaultColWidth="12.6640625" defaultRowHeight="13.2" outlineLevelCol="1" x14ac:dyDescent="0.25"/>
  <cols>
    <col min="1" max="1" width="47.6640625" style="151" customWidth="1"/>
    <col min="2" max="11" width="12.6640625" style="151" hidden="1" customWidth="1" outlineLevel="1"/>
    <col min="12" max="12" width="12.6640625" style="151" hidden="1" customWidth="1" outlineLevel="1" collapsed="1"/>
    <col min="13" max="13" width="12.6640625" style="151" hidden="1" customWidth="1" outlineLevel="1"/>
    <col min="14" max="14" width="12.6640625" style="151" hidden="1" customWidth="1" outlineLevel="1" collapsed="1"/>
    <col min="15" max="18" width="12.6640625" style="151" hidden="1" customWidth="1" outlineLevel="1"/>
    <col min="19" max="19" width="0" style="151" hidden="1" customWidth="1" outlineLevel="1"/>
    <col min="20" max="20" width="0" style="151" hidden="1" customWidth="1" collapsed="1"/>
    <col min="21" max="28" width="0" style="151" hidden="1" customWidth="1"/>
    <col min="29" max="38" width="12.6640625" style="151"/>
    <col min="39" max="41" width="13.33203125" style="151" bestFit="1" customWidth="1"/>
    <col min="42" max="16384" width="12.6640625" style="151"/>
  </cols>
  <sheetData>
    <row r="1" spans="1:41" x14ac:dyDescent="0.25">
      <c r="A1" s="210" t="s">
        <v>221</v>
      </c>
    </row>
    <row r="2" spans="1:41" x14ac:dyDescent="0.25">
      <c r="A2" s="12" t="s">
        <v>222</v>
      </c>
    </row>
    <row r="3" spans="1:41" ht="15" customHeight="1" x14ac:dyDescent="0.25">
      <c r="B3" s="188" t="s">
        <v>61</v>
      </c>
      <c r="C3" s="188" t="s">
        <v>62</v>
      </c>
      <c r="D3" s="188" t="s">
        <v>63</v>
      </c>
      <c r="E3" s="188" t="s">
        <v>64</v>
      </c>
      <c r="F3" s="189" t="s">
        <v>65</v>
      </c>
      <c r="G3" s="188" t="s">
        <v>66</v>
      </c>
      <c r="H3" s="188" t="s">
        <v>67</v>
      </c>
      <c r="I3" s="188" t="s">
        <v>68</v>
      </c>
      <c r="J3" s="188" t="s">
        <v>69</v>
      </c>
      <c r="K3" s="189" t="s">
        <v>70</v>
      </c>
      <c r="L3" s="188" t="s">
        <v>71</v>
      </c>
      <c r="M3" s="188" t="s">
        <v>72</v>
      </c>
      <c r="N3" s="188" t="s">
        <v>73</v>
      </c>
      <c r="O3" s="188" t="s">
        <v>74</v>
      </c>
      <c r="P3" s="190" t="s">
        <v>75</v>
      </c>
      <c r="Q3" s="188" t="s">
        <v>76</v>
      </c>
      <c r="R3" s="188" t="s">
        <v>77</v>
      </c>
      <c r="S3" s="188" t="s">
        <v>78</v>
      </c>
      <c r="T3" s="188" t="s">
        <v>79</v>
      </c>
      <c r="U3" s="190" t="s">
        <v>80</v>
      </c>
      <c r="V3" s="188" t="s">
        <v>81</v>
      </c>
      <c r="W3" s="188" t="s">
        <v>82</v>
      </c>
      <c r="X3" s="188" t="s">
        <v>83</v>
      </c>
      <c r="Y3" s="188" t="s">
        <v>84</v>
      </c>
      <c r="Z3" s="190" t="s">
        <v>85</v>
      </c>
      <c r="AA3" s="188" t="s">
        <v>86</v>
      </c>
      <c r="AB3" s="188" t="s">
        <v>87</v>
      </c>
      <c r="AC3" s="188" t="s">
        <v>88</v>
      </c>
      <c r="AD3" s="188" t="s">
        <v>89</v>
      </c>
      <c r="AE3" s="190" t="s">
        <v>90</v>
      </c>
      <c r="AF3" s="188" t="s">
        <v>91</v>
      </c>
      <c r="AG3" s="188" t="s">
        <v>92</v>
      </c>
      <c r="AH3" s="188" t="s">
        <v>93</v>
      </c>
      <c r="AI3" s="188" t="s">
        <v>94</v>
      </c>
      <c r="AJ3" s="190" t="s">
        <v>95</v>
      </c>
      <c r="AK3" s="188" t="s">
        <v>96</v>
      </c>
      <c r="AL3" s="188" t="s">
        <v>97</v>
      </c>
      <c r="AM3" s="188" t="s">
        <v>98</v>
      </c>
      <c r="AN3" s="188" t="s">
        <v>99</v>
      </c>
      <c r="AO3" s="190" t="s">
        <v>100</v>
      </c>
    </row>
    <row r="4" spans="1:41" ht="15" customHeight="1" x14ac:dyDescent="0.25">
      <c r="F4" s="206"/>
      <c r="K4" s="206"/>
      <c r="P4" s="207"/>
      <c r="U4" s="207"/>
      <c r="Z4" s="207"/>
      <c r="AE4" s="207"/>
      <c r="AJ4" s="207"/>
      <c r="AO4" s="207"/>
    </row>
    <row r="5" spans="1:41" ht="15" customHeight="1" x14ac:dyDescent="0.25">
      <c r="A5" s="154" t="s">
        <v>122</v>
      </c>
      <c r="B5" s="245">
        <f>'P&amp;L'!B22</f>
        <v>13617</v>
      </c>
      <c r="C5" s="245">
        <f>'P&amp;L'!C22</f>
        <v>3929</v>
      </c>
      <c r="D5" s="245">
        <f>'P&amp;L'!D22</f>
        <v>5793</v>
      </c>
      <c r="E5" s="245">
        <f>'P&amp;L'!E22</f>
        <v>38938</v>
      </c>
      <c r="F5" s="246">
        <f>'P&amp;L'!F22</f>
        <v>62276</v>
      </c>
      <c r="G5" s="245">
        <f>'P&amp;L'!G22</f>
        <v>18527</v>
      </c>
      <c r="H5" s="245">
        <f>'P&amp;L'!H22</f>
        <v>13339</v>
      </c>
      <c r="I5" s="245">
        <f>'P&amp;L'!I22</f>
        <v>14724</v>
      </c>
      <c r="J5" s="245">
        <f>'P&amp;L'!J22</f>
        <v>40740</v>
      </c>
      <c r="K5" s="246">
        <f>'P&amp;L'!K22</f>
        <v>87329</v>
      </c>
      <c r="L5" s="245">
        <f>'P&amp;L'!L22</f>
        <v>14518</v>
      </c>
      <c r="M5" s="245">
        <f>'P&amp;L'!M22</f>
        <v>7505</v>
      </c>
      <c r="N5" s="245">
        <f>'P&amp;L'!N22</f>
        <v>22269</v>
      </c>
      <c r="O5" s="245">
        <f>'P&amp;L'!O22</f>
        <v>52368</v>
      </c>
      <c r="P5" s="247">
        <f>'P&amp;L'!P22</f>
        <v>96659</v>
      </c>
      <c r="Q5" s="245">
        <f>'P&amp;L'!Q22</f>
        <v>21090</v>
      </c>
      <c r="R5" s="245">
        <f>'P&amp;L'!R22</f>
        <v>14707</v>
      </c>
      <c r="S5" s="245">
        <f>'P&amp;L'!S22</f>
        <v>17948</v>
      </c>
      <c r="T5" s="245">
        <f>'P&amp;L'!T22</f>
        <v>42134</v>
      </c>
      <c r="U5" s="247">
        <f>'P&amp;L'!U22</f>
        <v>95879</v>
      </c>
      <c r="V5" s="245">
        <f>'P&amp;L'!V22</f>
        <v>21401</v>
      </c>
      <c r="W5" s="245">
        <f>'P&amp;L'!W22</f>
        <v>12537</v>
      </c>
      <c r="X5" s="245">
        <f>'P&amp;L'!X22</f>
        <v>20557</v>
      </c>
      <c r="Y5" s="245">
        <f>'P&amp;L'!Y22</f>
        <v>41474</v>
      </c>
      <c r="Z5" s="247">
        <f>'P&amp;L'!Z22</f>
        <v>95969</v>
      </c>
      <c r="AA5" s="245">
        <f>'P&amp;L'!AA22</f>
        <v>16428</v>
      </c>
      <c r="AB5" s="245">
        <f>'P&amp;L'!AB22</f>
        <v>6150</v>
      </c>
      <c r="AC5" s="245">
        <f>'P&amp;L'!AC22</f>
        <v>5293</v>
      </c>
      <c r="AD5" s="245">
        <f>'P&amp;L'!AD22</f>
        <v>46818</v>
      </c>
      <c r="AE5" s="247">
        <f>'P&amp;L'!AE22</f>
        <v>74689</v>
      </c>
      <c r="AF5" s="245">
        <f>'P&amp;L'!AF22</f>
        <v>23450</v>
      </c>
      <c r="AG5" s="245">
        <f>'P&amp;L'!AG22</f>
        <v>15029</v>
      </c>
      <c r="AH5" s="245">
        <f>'P&amp;L'!AH22</f>
        <v>24230</v>
      </c>
      <c r="AI5" s="245">
        <f>'P&amp;L'!AI22</f>
        <v>74938</v>
      </c>
      <c r="AJ5" s="247">
        <f>'P&amp;L'!AJ22</f>
        <v>137647</v>
      </c>
      <c r="AK5" s="245">
        <f>'P&amp;L'!AK22</f>
        <v>21278</v>
      </c>
      <c r="AL5" s="245">
        <f>'P&amp;L'!AL22</f>
        <v>-32973</v>
      </c>
      <c r="AM5" s="245">
        <f>'P&amp;L'!AM22</f>
        <v>6521</v>
      </c>
      <c r="AN5" s="245">
        <f>'P&amp;L'!AN22</f>
        <v>16049</v>
      </c>
      <c r="AO5" s="247">
        <f>'P&amp;L'!AO22</f>
        <v>10875</v>
      </c>
    </row>
    <row r="6" spans="1:41" ht="15" customHeight="1" x14ac:dyDescent="0.25">
      <c r="A6" s="151" t="s">
        <v>203</v>
      </c>
      <c r="F6" s="206"/>
      <c r="K6" s="206"/>
      <c r="P6" s="207"/>
      <c r="U6" s="207"/>
      <c r="Z6" s="207"/>
      <c r="AE6" s="207"/>
      <c r="AJ6" s="207"/>
      <c r="AO6" s="207"/>
    </row>
    <row r="7" spans="1:41" ht="15" customHeight="1" x14ac:dyDescent="0.25">
      <c r="A7" s="151" t="s">
        <v>187</v>
      </c>
      <c r="B7" s="240">
        <f>'Reconciliation Adj EBITDA'!B8</f>
        <v>6317</v>
      </c>
      <c r="C7" s="240">
        <f>'Reconciliation Adj EBITDA'!C8</f>
        <v>5325</v>
      </c>
      <c r="D7" s="240">
        <f>'Reconciliation Adj EBITDA'!D8</f>
        <v>4600</v>
      </c>
      <c r="E7" s="240">
        <f>'Reconciliation Adj EBITDA'!E8</f>
        <v>7748</v>
      </c>
      <c r="F7" s="248">
        <f>'Reconciliation Adj EBITDA'!F8</f>
        <v>23989</v>
      </c>
      <c r="G7" s="240">
        <f>'Reconciliation Adj EBITDA'!G8</f>
        <v>8370</v>
      </c>
      <c r="H7" s="240">
        <f>'Reconciliation Adj EBITDA'!H8</f>
        <v>7695</v>
      </c>
      <c r="I7" s="240">
        <f>'Reconciliation Adj EBITDA'!I8</f>
        <v>13965</v>
      </c>
      <c r="J7" s="240">
        <f>'Reconciliation Adj EBITDA'!J8</f>
        <v>13229</v>
      </c>
      <c r="K7" s="248">
        <f>'Reconciliation Adj EBITDA'!K8</f>
        <v>43259</v>
      </c>
      <c r="L7" s="240">
        <f>'Reconciliation Adj EBITDA'!L8</f>
        <v>14940</v>
      </c>
      <c r="M7" s="240">
        <f>'Reconciliation Adj EBITDA'!M8</f>
        <v>14918</v>
      </c>
      <c r="N7" s="240">
        <f>'Reconciliation Adj EBITDA'!N8</f>
        <v>22028</v>
      </c>
      <c r="O7" s="240">
        <f>'Reconciliation Adj EBITDA'!O8</f>
        <v>20464</v>
      </c>
      <c r="P7" s="241">
        <f>'Reconciliation Adj EBITDA'!P8</f>
        <v>72351</v>
      </c>
      <c r="Q7" s="240">
        <f>'Reconciliation Adj EBITDA'!Q8</f>
        <v>19303</v>
      </c>
      <c r="R7" s="240">
        <f>'Reconciliation Adj EBITDA'!R8</f>
        <v>20245</v>
      </c>
      <c r="S7" s="240">
        <f>'Reconciliation Adj EBITDA'!S8</f>
        <v>17261</v>
      </c>
      <c r="T7" s="240">
        <f>'Reconciliation Adj EBITDA'!T8</f>
        <v>10267</v>
      </c>
      <c r="U7" s="241">
        <f>'Reconciliation Adj EBITDA'!U8</f>
        <v>67076</v>
      </c>
      <c r="V7" s="240">
        <f>'Reconciliation Adj EBITDA'!V8</f>
        <v>13882</v>
      </c>
      <c r="W7" s="240">
        <f>'Reconciliation Adj EBITDA'!W8</f>
        <v>14391</v>
      </c>
      <c r="X7" s="240">
        <f>'Reconciliation Adj EBITDA'!X8</f>
        <v>11770</v>
      </c>
      <c r="Y7" s="240">
        <f>'Reconciliation Adj EBITDA'!Y8</f>
        <v>9089</v>
      </c>
      <c r="Z7" s="241">
        <f>'Reconciliation Adj EBITDA'!Z8</f>
        <v>49132</v>
      </c>
      <c r="AA7" s="240">
        <f>'Reconciliation Adj EBITDA'!AA8</f>
        <v>8503</v>
      </c>
      <c r="AB7" s="240">
        <f>'Reconciliation Adj EBITDA'!AB8</f>
        <v>7159</v>
      </c>
      <c r="AC7" s="240">
        <f>'Reconciliation Adj EBITDA'!AC8</f>
        <v>6803</v>
      </c>
      <c r="AD7" s="240">
        <f>'Reconciliation Adj EBITDA'!AD8</f>
        <v>8960</v>
      </c>
      <c r="AE7" s="241">
        <f>'Reconciliation Adj EBITDA'!AE8</f>
        <v>31425</v>
      </c>
      <c r="AF7" s="240">
        <f>'Reconciliation Adj EBITDA'!AF8</f>
        <v>7882</v>
      </c>
      <c r="AG7" s="240">
        <f>'Reconciliation Adj EBITDA'!AG8</f>
        <v>11669</v>
      </c>
      <c r="AH7" s="240">
        <f>'Reconciliation Adj EBITDA'!AH8</f>
        <v>13290</v>
      </c>
      <c r="AI7" s="240">
        <f>'Reconciliation Adj EBITDA'!AI8</f>
        <v>12114</v>
      </c>
      <c r="AJ7" s="241">
        <f>'Reconciliation Adj EBITDA'!AJ8</f>
        <v>44955</v>
      </c>
      <c r="AK7" s="240">
        <f>'Reconciliation Adj EBITDA'!AK8</f>
        <v>9490</v>
      </c>
      <c r="AL7" s="240">
        <f>'Reconciliation Adj EBITDA'!AL8</f>
        <v>12020</v>
      </c>
      <c r="AM7" s="240">
        <f>'Reconciliation Adj EBITDA'!AM8</f>
        <v>21084</v>
      </c>
      <c r="AN7" s="240">
        <f>'Reconciliation Adj EBITDA'!AN8</f>
        <v>22441</v>
      </c>
      <c r="AO7" s="241">
        <f>'Reconciliation Adj EBITDA'!AO8</f>
        <v>65035</v>
      </c>
    </row>
    <row r="8" spans="1:41" ht="31.5" customHeight="1" x14ac:dyDescent="0.25">
      <c r="A8" s="151" t="s">
        <v>223</v>
      </c>
      <c r="B8" s="197">
        <v>920</v>
      </c>
      <c r="C8" s="197">
        <v>1674</v>
      </c>
      <c r="D8" s="197">
        <v>1200</v>
      </c>
      <c r="E8" s="197">
        <v>2548</v>
      </c>
      <c r="F8" s="198">
        <v>6342</v>
      </c>
      <c r="G8" s="197">
        <v>1377</v>
      </c>
      <c r="H8" s="197">
        <v>825</v>
      </c>
      <c r="I8" s="197">
        <v>943</v>
      </c>
      <c r="J8" s="197">
        <v>986</v>
      </c>
      <c r="K8" s="198">
        <v>4131</v>
      </c>
      <c r="L8" s="197">
        <v>4674</v>
      </c>
      <c r="M8" s="197">
        <v>4777</v>
      </c>
      <c r="N8" s="197">
        <v>4428</v>
      </c>
      <c r="O8" s="197">
        <v>3852</v>
      </c>
      <c r="P8" s="199">
        <v>17731</v>
      </c>
      <c r="Q8" s="197">
        <v>3457</v>
      </c>
      <c r="R8" s="197">
        <v>3448</v>
      </c>
      <c r="S8" s="197">
        <v>3920</v>
      </c>
      <c r="T8" s="197">
        <v>4996</v>
      </c>
      <c r="U8" s="199">
        <v>15821</v>
      </c>
      <c r="V8" s="197">
        <v>5472</v>
      </c>
      <c r="W8" s="197">
        <v>5465</v>
      </c>
      <c r="X8" s="197">
        <v>5456</v>
      </c>
      <c r="Y8" s="197">
        <v>11513</v>
      </c>
      <c r="Z8" s="199">
        <v>27906</v>
      </c>
      <c r="AA8" s="197">
        <v>6848</v>
      </c>
      <c r="AB8" s="197">
        <v>2847</v>
      </c>
      <c r="AC8" s="197">
        <v>2899</v>
      </c>
      <c r="AD8" s="197">
        <v>2926</v>
      </c>
      <c r="AE8" s="199">
        <v>15520</v>
      </c>
      <c r="AF8" s="197">
        <v>2935</v>
      </c>
      <c r="AG8" s="197">
        <v>2936</v>
      </c>
      <c r="AH8" s="197">
        <v>3303</v>
      </c>
      <c r="AI8" s="197">
        <v>3755</v>
      </c>
      <c r="AJ8" s="199">
        <v>12929</v>
      </c>
      <c r="AK8" s="197">
        <v>3708</v>
      </c>
      <c r="AL8" s="197">
        <v>3614</v>
      </c>
      <c r="AM8" s="197">
        <v>3531</v>
      </c>
      <c r="AN8" s="197">
        <v>12423</v>
      </c>
      <c r="AO8" s="249">
        <v>23276</v>
      </c>
    </row>
    <row r="9" spans="1:41" ht="15" customHeight="1" x14ac:dyDescent="0.25">
      <c r="A9" s="151" t="s">
        <v>197</v>
      </c>
      <c r="B9" s="240">
        <f>'Reconciliation Adj EBITDA'!B21</f>
        <v>0</v>
      </c>
      <c r="C9" s="240">
        <f>'Reconciliation Adj EBITDA'!C21</f>
        <v>0</v>
      </c>
      <c r="D9" s="240">
        <f>'Reconciliation Adj EBITDA'!D21</f>
        <v>0</v>
      </c>
      <c r="E9" s="240">
        <f>'Reconciliation Adj EBITDA'!E21</f>
        <v>0</v>
      </c>
      <c r="F9" s="248">
        <f>'Reconciliation Adj EBITDA'!F21</f>
        <v>0</v>
      </c>
      <c r="G9" s="240">
        <f>'Reconciliation Adj EBITDA'!G21</f>
        <v>0</v>
      </c>
      <c r="H9" s="240">
        <f>'Reconciliation Adj EBITDA'!H21</f>
        <v>148</v>
      </c>
      <c r="I9" s="240">
        <f>'Reconciliation Adj EBITDA'!I21</f>
        <v>1793</v>
      </c>
      <c r="J9" s="240">
        <f>'Reconciliation Adj EBITDA'!J21</f>
        <v>980</v>
      </c>
      <c r="K9" s="248">
        <f>'Reconciliation Adj EBITDA'!K21</f>
        <v>2921</v>
      </c>
      <c r="L9" s="240">
        <f>'Reconciliation Adj EBITDA'!L21</f>
        <v>6</v>
      </c>
      <c r="M9" s="240">
        <f>'Reconciliation Adj EBITDA'!M21</f>
        <v>0</v>
      </c>
      <c r="N9" s="240">
        <f>'Reconciliation Adj EBITDA'!N21</f>
        <v>0</v>
      </c>
      <c r="O9" s="240">
        <f>'Reconciliation Adj EBITDA'!O21</f>
        <v>0</v>
      </c>
      <c r="P9" s="241">
        <f>'Reconciliation Adj EBITDA'!P21</f>
        <v>6</v>
      </c>
      <c r="Q9" s="240">
        <f>'Reconciliation Adj EBITDA'!Q21</f>
        <v>0</v>
      </c>
      <c r="R9" s="240">
        <f>'Reconciliation Adj EBITDA'!R21</f>
        <v>0</v>
      </c>
      <c r="S9" s="240">
        <f>'Reconciliation Adj EBITDA'!S21</f>
        <v>516</v>
      </c>
      <c r="T9" s="240">
        <f>'Reconciliation Adj EBITDA'!T21</f>
        <v>1222</v>
      </c>
      <c r="U9" s="241">
        <f>'Reconciliation Adj EBITDA'!U21</f>
        <v>1738</v>
      </c>
      <c r="V9" s="240">
        <f>'Reconciliation Adj EBITDA'!V21</f>
        <v>0</v>
      </c>
      <c r="W9" s="240">
        <f>'Reconciliation Adj EBITDA'!W21</f>
        <v>0</v>
      </c>
      <c r="X9" s="240">
        <f>'Reconciliation Adj EBITDA'!X21</f>
        <v>0</v>
      </c>
      <c r="Y9" s="240">
        <f>'Reconciliation Adj EBITDA'!Y21</f>
        <v>0</v>
      </c>
      <c r="Z9" s="241">
        <f>'Reconciliation Adj EBITDA'!Z21</f>
        <v>0</v>
      </c>
      <c r="AA9" s="240">
        <f>'Reconciliation Adj EBITDA'!AA21</f>
        <v>0</v>
      </c>
      <c r="AB9" s="240">
        <f>'Reconciliation Adj EBITDA'!AB21</f>
        <v>0</v>
      </c>
      <c r="AC9" s="240">
        <f>'Reconciliation Adj EBITDA'!AC21</f>
        <v>112</v>
      </c>
      <c r="AD9" s="240">
        <f>'Reconciliation Adj EBITDA'!AD21</f>
        <v>174</v>
      </c>
      <c r="AE9" s="241">
        <f>'Reconciliation Adj EBITDA'!AE21</f>
        <v>286</v>
      </c>
      <c r="AF9" s="240">
        <f>'Reconciliation Adj EBITDA'!AF21</f>
        <v>0</v>
      </c>
      <c r="AG9" s="240">
        <f>'Reconciliation Adj EBITDA'!AG21</f>
        <v>3047</v>
      </c>
      <c r="AH9" s="240">
        <f>'Reconciliation Adj EBITDA'!AH21</f>
        <v>2091</v>
      </c>
      <c r="AI9" s="240">
        <f>'Reconciliation Adj EBITDA'!AI21</f>
        <v>6118</v>
      </c>
      <c r="AJ9" s="241">
        <f>'Reconciliation Adj EBITDA'!AJ21</f>
        <v>11256</v>
      </c>
      <c r="AK9" s="240">
        <f>'Reconciliation Adj EBITDA'!AK21</f>
        <v>2544</v>
      </c>
      <c r="AL9" s="240">
        <f>'Reconciliation Adj EBITDA'!AL21</f>
        <v>1977</v>
      </c>
      <c r="AM9" s="240">
        <f>'Reconciliation Adj EBITDA'!AM21</f>
        <v>6970</v>
      </c>
      <c r="AN9" s="240">
        <f>'Reconciliation Adj EBITDA'!AN21</f>
        <v>1093</v>
      </c>
      <c r="AO9" s="241">
        <f>'Reconciliation Adj EBITDA'!AO21</f>
        <v>12584</v>
      </c>
    </row>
    <row r="10" spans="1:41" ht="15" customHeight="1" x14ac:dyDescent="0.25">
      <c r="A10" s="151" t="s">
        <v>198</v>
      </c>
      <c r="B10" s="240"/>
      <c r="C10" s="240"/>
      <c r="D10" s="240"/>
      <c r="E10" s="240"/>
      <c r="F10" s="248"/>
      <c r="G10" s="240"/>
      <c r="H10" s="240"/>
      <c r="I10" s="240"/>
      <c r="J10" s="240"/>
      <c r="K10" s="248"/>
      <c r="L10" s="240"/>
      <c r="M10" s="240"/>
      <c r="N10" s="240"/>
      <c r="O10" s="240"/>
      <c r="P10" s="241"/>
      <c r="Q10" s="240"/>
      <c r="R10" s="240"/>
      <c r="S10" s="240"/>
      <c r="T10" s="240"/>
      <c r="U10" s="241"/>
      <c r="V10" s="240"/>
      <c r="W10" s="240">
        <v>0</v>
      </c>
      <c r="X10" s="240">
        <v>0</v>
      </c>
      <c r="Y10" s="240">
        <v>0</v>
      </c>
      <c r="Z10" s="241">
        <v>0</v>
      </c>
      <c r="AA10" s="240">
        <v>0</v>
      </c>
      <c r="AB10" s="240">
        <v>0</v>
      </c>
      <c r="AC10" s="240">
        <v>0</v>
      </c>
      <c r="AD10" s="240">
        <v>0</v>
      </c>
      <c r="AE10" s="241">
        <v>0</v>
      </c>
      <c r="AF10" s="240">
        <v>0</v>
      </c>
      <c r="AG10" s="240">
        <v>0</v>
      </c>
      <c r="AH10" s="240">
        <v>0</v>
      </c>
      <c r="AI10" s="240">
        <v>0</v>
      </c>
      <c r="AJ10" s="241">
        <v>0</v>
      </c>
      <c r="AK10" s="240">
        <v>0</v>
      </c>
      <c r="AL10" s="240">
        <v>65684</v>
      </c>
      <c r="AM10" s="197">
        <v>-1764</v>
      </c>
      <c r="AN10" s="197">
        <v>-699</v>
      </c>
      <c r="AO10" s="241">
        <v>63221</v>
      </c>
    </row>
    <row r="11" spans="1:41" ht="15" customHeight="1" x14ac:dyDescent="0.25">
      <c r="A11" s="151" t="s">
        <v>191</v>
      </c>
      <c r="B11" s="240">
        <f>'Reconciliation Adj EBITDA'!B24</f>
        <v>109</v>
      </c>
      <c r="C11" s="240">
        <f>'Reconciliation Adj EBITDA'!C24</f>
        <v>115</v>
      </c>
      <c r="D11" s="240">
        <f>'Reconciliation Adj EBITDA'!D24</f>
        <v>54</v>
      </c>
      <c r="E11" s="240">
        <f>'Reconciliation Adj EBITDA'!E24</f>
        <v>-2172</v>
      </c>
      <c r="F11" s="248">
        <f>'Reconciliation Adj EBITDA'!F24</f>
        <v>-1894</v>
      </c>
      <c r="G11" s="240">
        <f>'Reconciliation Adj EBITDA'!G24</f>
        <v>40</v>
      </c>
      <c r="H11" s="240">
        <f>'Reconciliation Adj EBITDA'!H24</f>
        <v>44</v>
      </c>
      <c r="I11" s="240">
        <f>'Reconciliation Adj EBITDA'!I24</f>
        <v>3</v>
      </c>
      <c r="J11" s="240">
        <f>'Reconciliation Adj EBITDA'!J24</f>
        <v>-3</v>
      </c>
      <c r="K11" s="248">
        <f>'Reconciliation Adj EBITDA'!K24</f>
        <v>85</v>
      </c>
      <c r="L11" s="240">
        <f>'Reconciliation Adj EBITDA'!L24</f>
        <v>0</v>
      </c>
      <c r="M11" s="240">
        <f>'Reconciliation Adj EBITDA'!M24</f>
        <v>0</v>
      </c>
      <c r="N11" s="240">
        <f>'Reconciliation Adj EBITDA'!N24</f>
        <v>0</v>
      </c>
      <c r="O11" s="240">
        <f>'Reconciliation Adj EBITDA'!O24</f>
        <v>0</v>
      </c>
      <c r="P11" s="241">
        <f>'Reconciliation Adj EBITDA'!P24</f>
        <v>0</v>
      </c>
      <c r="Q11" s="240">
        <f>'Reconciliation Adj EBITDA'!Q24</f>
        <v>0</v>
      </c>
      <c r="R11" s="240">
        <f>'Reconciliation Adj EBITDA'!R24</f>
        <v>0</v>
      </c>
      <c r="S11" s="240">
        <f>'Reconciliation Adj EBITDA'!S24</f>
        <v>0</v>
      </c>
      <c r="T11" s="240">
        <f>'Reconciliation Adj EBITDA'!T24</f>
        <v>0</v>
      </c>
      <c r="U11" s="241">
        <f>'Reconciliation Adj EBITDA'!U24</f>
        <v>0</v>
      </c>
      <c r="V11" s="240">
        <f>'Reconciliation Adj EBITDA'!V24</f>
        <v>0</v>
      </c>
      <c r="W11" s="240">
        <f>'Reconciliation Adj EBITDA'!W24</f>
        <v>0</v>
      </c>
      <c r="X11" s="240">
        <f>'Reconciliation Adj EBITDA'!X24</f>
        <v>0</v>
      </c>
      <c r="Y11" s="240">
        <f>'Reconciliation Adj EBITDA'!Y24</f>
        <v>0</v>
      </c>
      <c r="Z11" s="241">
        <f>'Reconciliation Adj EBITDA'!Z24</f>
        <v>0</v>
      </c>
      <c r="AA11" s="240">
        <f>'Reconciliation Adj EBITDA'!AA24</f>
        <v>0</v>
      </c>
      <c r="AB11" s="240">
        <f>'Reconciliation Adj EBITDA'!AB24</f>
        <v>0</v>
      </c>
      <c r="AC11" s="240">
        <f>'Reconciliation Adj EBITDA'!AC24</f>
        <v>0</v>
      </c>
      <c r="AD11" s="240">
        <f>'Reconciliation Adj EBITDA'!AD24</f>
        <v>0</v>
      </c>
      <c r="AE11" s="241">
        <f>'Reconciliation Adj EBITDA'!AE24</f>
        <v>0</v>
      </c>
      <c r="AF11" s="240">
        <f>'Reconciliation Adj EBITDA'!AF24</f>
        <v>0</v>
      </c>
      <c r="AG11" s="240">
        <f>'Reconciliation Adj EBITDA'!AG24</f>
        <v>0</v>
      </c>
      <c r="AH11" s="240">
        <f>'Reconciliation Adj EBITDA'!AH24</f>
        <v>0</v>
      </c>
      <c r="AI11" s="240">
        <f>'Reconciliation Adj EBITDA'!AI24</f>
        <v>0</v>
      </c>
      <c r="AJ11" s="241">
        <f>'Reconciliation Adj EBITDA'!AJ24</f>
        <v>0</v>
      </c>
      <c r="AK11" s="240">
        <f>'Reconciliation Adj EBITDA'!AK24</f>
        <v>0</v>
      </c>
      <c r="AL11" s="240">
        <f>'Reconciliation Adj EBITDA'!AL24</f>
        <v>0</v>
      </c>
      <c r="AM11" s="240">
        <f>'Reconciliation Adj EBITDA'!AM24</f>
        <v>0</v>
      </c>
      <c r="AN11" s="240">
        <f>'Reconciliation Adj EBITDA'!AN24</f>
        <v>0</v>
      </c>
      <c r="AO11" s="241">
        <f>'Reconciliation Adj EBITDA'!AO24</f>
        <v>0</v>
      </c>
    </row>
    <row r="12" spans="1:41" ht="30" customHeight="1" x14ac:dyDescent="0.25">
      <c r="A12" s="151" t="s">
        <v>190</v>
      </c>
      <c r="B12" s="240">
        <f>'Reconciliation Adj EBITDA'!B29</f>
        <v>0</v>
      </c>
      <c r="C12" s="240">
        <f>'Reconciliation Adj EBITDA'!C29</f>
        <v>0</v>
      </c>
      <c r="D12" s="240">
        <f>'Reconciliation Adj EBITDA'!D29</f>
        <v>0</v>
      </c>
      <c r="E12" s="240">
        <f>'Reconciliation Adj EBITDA'!E29</f>
        <v>0</v>
      </c>
      <c r="F12" s="248">
        <f>'Reconciliation Adj EBITDA'!F29</f>
        <v>0</v>
      </c>
      <c r="G12" s="240">
        <f>'Reconciliation Adj EBITDA'!G29</f>
        <v>0</v>
      </c>
      <c r="H12" s="240">
        <f>'Reconciliation Adj EBITDA'!H29</f>
        <v>0</v>
      </c>
      <c r="I12" s="240">
        <f>'Reconciliation Adj EBITDA'!I29</f>
        <v>0</v>
      </c>
      <c r="J12" s="240">
        <f>'Reconciliation Adj EBITDA'!J29</f>
        <v>0</v>
      </c>
      <c r="K12" s="248">
        <f>'Reconciliation Adj EBITDA'!K29</f>
        <v>0</v>
      </c>
      <c r="L12" s="240">
        <f>'Reconciliation Adj EBITDA'!L29</f>
        <v>0</v>
      </c>
      <c r="M12" s="240">
        <f>'Reconciliation Adj EBITDA'!M29</f>
        <v>3299</v>
      </c>
      <c r="N12" s="240">
        <f>'Reconciliation Adj EBITDA'!N29</f>
        <v>0</v>
      </c>
      <c r="O12" s="240">
        <f>'Reconciliation Adj EBITDA'!O29</f>
        <v>4057</v>
      </c>
      <c r="P12" s="241">
        <f>'Reconciliation Adj EBITDA'!P29</f>
        <v>7356</v>
      </c>
      <c r="Q12" s="240">
        <f>'Reconciliation Adj EBITDA'!Q29</f>
        <v>-252</v>
      </c>
      <c r="R12" s="240">
        <f>'Reconciliation Adj EBITDA'!R29</f>
        <v>199</v>
      </c>
      <c r="S12" s="240">
        <f>'Reconciliation Adj EBITDA'!S29</f>
        <v>0</v>
      </c>
      <c r="T12" s="240">
        <f>'Reconciliation Adj EBITDA'!T29</f>
        <v>0</v>
      </c>
      <c r="U12" s="241">
        <f>'Reconciliation Adj EBITDA'!U29</f>
        <v>-53</v>
      </c>
      <c r="V12" s="240">
        <f>'Reconciliation Adj EBITDA'!V29</f>
        <v>1890</v>
      </c>
      <c r="W12" s="240">
        <f>'Reconciliation Adj EBITDA'!W29</f>
        <v>728</v>
      </c>
      <c r="X12" s="240">
        <f>'Reconciliation Adj EBITDA'!X29</f>
        <v>303</v>
      </c>
      <c r="Y12" s="240">
        <f>'Reconciliation Adj EBITDA'!Y29</f>
        <v>10661</v>
      </c>
      <c r="Z12" s="241">
        <f>'Reconciliation Adj EBITDA'!Z29</f>
        <v>13582</v>
      </c>
      <c r="AA12" s="240">
        <f>'Reconciliation Adj EBITDA'!AA29</f>
        <v>2209</v>
      </c>
      <c r="AB12" s="240">
        <f>'Reconciliation Adj EBITDA'!AB29</f>
        <v>1216</v>
      </c>
      <c r="AC12" s="240">
        <f>'Reconciliation Adj EBITDA'!AC29</f>
        <v>12181</v>
      </c>
      <c r="AD12" s="240">
        <f>'Reconciliation Adj EBITDA'!AD29</f>
        <v>4383</v>
      </c>
      <c r="AE12" s="241">
        <f>'Reconciliation Adj EBITDA'!AE29</f>
        <v>19989</v>
      </c>
      <c r="AF12" s="240">
        <f>'Reconciliation Adj EBITDA'!AF29</f>
        <v>11636</v>
      </c>
      <c r="AG12" s="240">
        <f>'Reconciliation Adj EBITDA'!AG29</f>
        <v>9996</v>
      </c>
      <c r="AH12" s="240">
        <f>'Reconciliation Adj EBITDA'!AH29</f>
        <v>-1767</v>
      </c>
      <c r="AI12" s="240">
        <f>'Reconciliation Adj EBITDA'!AI29</f>
        <v>1833</v>
      </c>
      <c r="AJ12" s="241">
        <f>'Reconciliation Adj EBITDA'!AJ29</f>
        <v>21698</v>
      </c>
      <c r="AK12" s="240">
        <f>'Reconciliation Adj EBITDA'!AK29</f>
        <v>710</v>
      </c>
      <c r="AL12" s="240">
        <f>'Reconciliation Adj EBITDA'!AL29</f>
        <v>5925</v>
      </c>
      <c r="AM12" s="240">
        <f>'Reconciliation Adj EBITDA'!AM29</f>
        <v>-81</v>
      </c>
      <c r="AN12" s="240">
        <f>'Reconciliation Adj EBITDA'!AN29</f>
        <v>4123</v>
      </c>
      <c r="AO12" s="241">
        <f>'Reconciliation Adj EBITDA'!AO29</f>
        <v>10677</v>
      </c>
    </row>
    <row r="13" spans="1:41" ht="15" customHeight="1" x14ac:dyDescent="0.25">
      <c r="A13" s="151" t="s">
        <v>224</v>
      </c>
      <c r="B13" s="197">
        <v>-130</v>
      </c>
      <c r="C13" s="197">
        <v>-426</v>
      </c>
      <c r="D13" s="197">
        <v>-274</v>
      </c>
      <c r="E13" s="197">
        <v>-47</v>
      </c>
      <c r="F13" s="198">
        <v>-878</v>
      </c>
      <c r="G13" s="197">
        <v>-228</v>
      </c>
      <c r="H13" s="197">
        <v>-159</v>
      </c>
      <c r="I13" s="197">
        <v>-129</v>
      </c>
      <c r="J13" s="197">
        <v>-432</v>
      </c>
      <c r="K13" s="198">
        <v>-948</v>
      </c>
      <c r="L13" s="197">
        <v>-3317</v>
      </c>
      <c r="M13" s="197">
        <f>-4254-1</f>
        <v>-4255</v>
      </c>
      <c r="N13" s="197">
        <v>-4309</v>
      </c>
      <c r="O13" s="197">
        <v>1088</v>
      </c>
      <c r="P13" s="199">
        <v>-10792</v>
      </c>
      <c r="Q13" s="197">
        <v>-3079</v>
      </c>
      <c r="R13" s="197">
        <v>-3117</v>
      </c>
      <c r="S13" s="197">
        <v>-3309</v>
      </c>
      <c r="T13" s="197">
        <v>-2218</v>
      </c>
      <c r="U13" s="199">
        <v>-11723</v>
      </c>
      <c r="V13" s="197">
        <v>-2940</v>
      </c>
      <c r="W13" s="197">
        <v>-2391</v>
      </c>
      <c r="X13" s="197">
        <v>-2640</v>
      </c>
      <c r="Y13" s="197">
        <v>-3219</v>
      </c>
      <c r="Z13" s="199">
        <v>-11190</v>
      </c>
      <c r="AA13" s="197">
        <v>-1960</v>
      </c>
      <c r="AB13" s="197">
        <v>-665</v>
      </c>
      <c r="AC13" s="197">
        <v>-2986</v>
      </c>
      <c r="AD13" s="197">
        <v>-2127</v>
      </c>
      <c r="AE13" s="199">
        <v>-7738</v>
      </c>
      <c r="AF13" s="197">
        <v>-2751</v>
      </c>
      <c r="AG13" s="197">
        <v>-1821</v>
      </c>
      <c r="AH13" s="197">
        <v>-114</v>
      </c>
      <c r="AI13" s="197">
        <v>-6557</v>
      </c>
      <c r="AJ13" s="199">
        <v>-11243</v>
      </c>
      <c r="AK13" s="197">
        <v>-3956</v>
      </c>
      <c r="AL13" s="197">
        <v>-33220</v>
      </c>
      <c r="AM13" s="197">
        <v>-3036</v>
      </c>
      <c r="AN13" s="197">
        <v>-3535</v>
      </c>
      <c r="AO13" s="249">
        <v>-12513</v>
      </c>
    </row>
    <row r="14" spans="1:41" ht="15" customHeight="1" x14ac:dyDescent="0.25">
      <c r="A14" s="151" t="s">
        <v>210</v>
      </c>
      <c r="B14" s="242">
        <f t="shared" ref="B14:P14" si="0">SUM(B7:B13)</f>
        <v>7216</v>
      </c>
      <c r="C14" s="242">
        <f t="shared" si="0"/>
        <v>6688</v>
      </c>
      <c r="D14" s="242">
        <f t="shared" si="0"/>
        <v>5580</v>
      </c>
      <c r="E14" s="242">
        <f t="shared" si="0"/>
        <v>8077</v>
      </c>
      <c r="F14" s="250">
        <f t="shared" si="0"/>
        <v>27559</v>
      </c>
      <c r="G14" s="242">
        <f t="shared" si="0"/>
        <v>9559</v>
      </c>
      <c r="H14" s="242">
        <f t="shared" si="0"/>
        <v>8553</v>
      </c>
      <c r="I14" s="242">
        <f t="shared" si="0"/>
        <v>16575</v>
      </c>
      <c r="J14" s="242">
        <f t="shared" si="0"/>
        <v>14760</v>
      </c>
      <c r="K14" s="224">
        <f t="shared" si="0"/>
        <v>49448</v>
      </c>
      <c r="L14" s="242">
        <f t="shared" si="0"/>
        <v>16303</v>
      </c>
      <c r="M14" s="242">
        <f t="shared" si="0"/>
        <v>18739</v>
      </c>
      <c r="N14" s="242">
        <f t="shared" si="0"/>
        <v>22147</v>
      </c>
      <c r="O14" s="223">
        <f t="shared" si="0"/>
        <v>29461</v>
      </c>
      <c r="P14" s="225">
        <f t="shared" si="0"/>
        <v>86652</v>
      </c>
      <c r="Q14" s="223">
        <f>SUM(Q7:Q13)</f>
        <v>19429</v>
      </c>
      <c r="R14" s="223">
        <f>SUM(R7:R13)</f>
        <v>20775</v>
      </c>
      <c r="S14" s="223">
        <f>SUM(S7:S13)</f>
        <v>18388</v>
      </c>
      <c r="T14" s="223">
        <f t="shared" ref="T14:U14" si="1">SUM(T7:T13)</f>
        <v>14267</v>
      </c>
      <c r="U14" s="225">
        <f t="shared" si="1"/>
        <v>72859</v>
      </c>
      <c r="V14" s="223">
        <f>SUM(V7:V13)</f>
        <v>18304</v>
      </c>
      <c r="W14" s="223">
        <f>SUM(W7:W13)</f>
        <v>18193</v>
      </c>
      <c r="X14" s="223">
        <f>SUM(X7:X13)</f>
        <v>14889</v>
      </c>
      <c r="Y14" s="223">
        <f t="shared" ref="Y14:Z14" si="2">SUM(Y7:Y13)</f>
        <v>28044</v>
      </c>
      <c r="Z14" s="225">
        <f t="shared" si="2"/>
        <v>79430</v>
      </c>
      <c r="AA14" s="223">
        <f>SUM(AA7:AA13)</f>
        <v>15600</v>
      </c>
      <c r="AB14" s="223">
        <f>SUM(AB7:AB13)</f>
        <v>10557</v>
      </c>
      <c r="AC14" s="223">
        <f>SUM(AC7:AC13)</f>
        <v>19009</v>
      </c>
      <c r="AD14" s="223">
        <f t="shared" ref="AD14:AE14" si="3">SUM(AD7:AD13)</f>
        <v>14316</v>
      </c>
      <c r="AE14" s="225">
        <f t="shared" si="3"/>
        <v>59482</v>
      </c>
      <c r="AF14" s="223">
        <f>SUM(AF7:AF13)</f>
        <v>19702</v>
      </c>
      <c r="AG14" s="223">
        <f>SUM(AG7:AG13)</f>
        <v>25827</v>
      </c>
      <c r="AH14" s="223">
        <f>SUM(AH7:AH13)</f>
        <v>16803</v>
      </c>
      <c r="AI14" s="223">
        <f t="shared" ref="AI14:AJ14" si="4">SUM(AI7:AI13)</f>
        <v>17263</v>
      </c>
      <c r="AJ14" s="225">
        <f t="shared" si="4"/>
        <v>79595</v>
      </c>
      <c r="AK14" s="223">
        <f>SUM(AK7:AK13)</f>
        <v>12496</v>
      </c>
      <c r="AL14" s="223">
        <f>SUM(AL7:AL13)</f>
        <v>56000</v>
      </c>
      <c r="AM14" s="223">
        <f>SUM(AM7:AM13)</f>
        <v>26704</v>
      </c>
      <c r="AN14" s="223">
        <f t="shared" ref="AN14:AO14" si="5">SUM(AN7:AN13)</f>
        <v>35846</v>
      </c>
      <c r="AO14" s="225">
        <f t="shared" si="5"/>
        <v>162280</v>
      </c>
    </row>
    <row r="15" spans="1:41" ht="15" customHeight="1" x14ac:dyDescent="0.25">
      <c r="A15" s="154" t="s">
        <v>225</v>
      </c>
      <c r="B15" s="251">
        <f t="shared" ref="B15:AO15" si="6">SUM(B5,B14)</f>
        <v>20833</v>
      </c>
      <c r="C15" s="251">
        <f t="shared" si="6"/>
        <v>10617</v>
      </c>
      <c r="D15" s="251">
        <f t="shared" si="6"/>
        <v>11373</v>
      </c>
      <c r="E15" s="251">
        <f t="shared" si="6"/>
        <v>47015</v>
      </c>
      <c r="F15" s="252">
        <f t="shared" si="6"/>
        <v>89835</v>
      </c>
      <c r="G15" s="251">
        <f t="shared" si="6"/>
        <v>28086</v>
      </c>
      <c r="H15" s="251">
        <f t="shared" si="6"/>
        <v>21892</v>
      </c>
      <c r="I15" s="251">
        <f t="shared" si="6"/>
        <v>31299</v>
      </c>
      <c r="J15" s="251">
        <f t="shared" si="6"/>
        <v>55500</v>
      </c>
      <c r="K15" s="252">
        <f t="shared" si="6"/>
        <v>136777</v>
      </c>
      <c r="L15" s="251">
        <f t="shared" si="6"/>
        <v>30821</v>
      </c>
      <c r="M15" s="251">
        <f t="shared" si="6"/>
        <v>26244</v>
      </c>
      <c r="N15" s="251">
        <f t="shared" si="6"/>
        <v>44416</v>
      </c>
      <c r="O15" s="251">
        <f t="shared" si="6"/>
        <v>81829</v>
      </c>
      <c r="P15" s="253">
        <f t="shared" si="6"/>
        <v>183311</v>
      </c>
      <c r="Q15" s="251">
        <f t="shared" si="6"/>
        <v>40519</v>
      </c>
      <c r="R15" s="251">
        <f t="shared" si="6"/>
        <v>35482</v>
      </c>
      <c r="S15" s="251">
        <f t="shared" si="6"/>
        <v>36336</v>
      </c>
      <c r="T15" s="251">
        <f t="shared" si="6"/>
        <v>56401</v>
      </c>
      <c r="U15" s="253">
        <f t="shared" si="6"/>
        <v>168738</v>
      </c>
      <c r="V15" s="251">
        <f t="shared" si="6"/>
        <v>39705</v>
      </c>
      <c r="W15" s="251">
        <f t="shared" si="6"/>
        <v>30730</v>
      </c>
      <c r="X15" s="251">
        <f t="shared" si="6"/>
        <v>35446</v>
      </c>
      <c r="Y15" s="251">
        <f t="shared" si="6"/>
        <v>69518</v>
      </c>
      <c r="Z15" s="253">
        <f t="shared" si="6"/>
        <v>175399</v>
      </c>
      <c r="AA15" s="251">
        <f t="shared" si="6"/>
        <v>32028</v>
      </c>
      <c r="AB15" s="251">
        <f t="shared" si="6"/>
        <v>16707</v>
      </c>
      <c r="AC15" s="251">
        <f t="shared" si="6"/>
        <v>24302</v>
      </c>
      <c r="AD15" s="251">
        <f t="shared" si="6"/>
        <v>61134</v>
      </c>
      <c r="AE15" s="253">
        <f t="shared" si="6"/>
        <v>134171</v>
      </c>
      <c r="AF15" s="251">
        <f t="shared" si="6"/>
        <v>43152</v>
      </c>
      <c r="AG15" s="251">
        <f t="shared" si="6"/>
        <v>40856</v>
      </c>
      <c r="AH15" s="251">
        <f t="shared" si="6"/>
        <v>41033</v>
      </c>
      <c r="AI15" s="251">
        <f t="shared" si="6"/>
        <v>92201</v>
      </c>
      <c r="AJ15" s="253">
        <f t="shared" si="6"/>
        <v>217242</v>
      </c>
      <c r="AK15" s="251">
        <f t="shared" si="6"/>
        <v>33774</v>
      </c>
      <c r="AL15" s="251">
        <f t="shared" si="6"/>
        <v>23027</v>
      </c>
      <c r="AM15" s="251">
        <f t="shared" si="6"/>
        <v>33225</v>
      </c>
      <c r="AN15" s="251">
        <f t="shared" si="6"/>
        <v>51895</v>
      </c>
      <c r="AO15" s="253">
        <f t="shared" si="6"/>
        <v>173155</v>
      </c>
    </row>
    <row r="16" spans="1:41" ht="15" customHeight="1" x14ac:dyDescent="0.25">
      <c r="F16" s="206"/>
      <c r="K16" s="206"/>
      <c r="P16" s="207"/>
      <c r="U16" s="207"/>
      <c r="Z16" s="207"/>
      <c r="AE16" s="207"/>
      <c r="AJ16" s="207"/>
      <c r="AO16" s="207"/>
    </row>
    <row r="17" spans="1:41" ht="15" customHeight="1" x14ac:dyDescent="0.25">
      <c r="A17" s="151" t="s">
        <v>226</v>
      </c>
      <c r="F17" s="206"/>
      <c r="K17" s="206"/>
      <c r="P17" s="207"/>
      <c r="U17" s="207"/>
      <c r="Z17" s="207"/>
      <c r="AE17" s="207"/>
      <c r="AJ17" s="207"/>
      <c r="AO17" s="207"/>
    </row>
    <row r="18" spans="1:41" ht="15" customHeight="1" x14ac:dyDescent="0.25">
      <c r="A18" s="254" t="s">
        <v>227</v>
      </c>
      <c r="B18" s="240">
        <f>'P&amp;L'!B28</f>
        <v>61174168</v>
      </c>
      <c r="C18" s="240">
        <f>'P&amp;L'!C28</f>
        <v>61719367</v>
      </c>
      <c r="D18" s="240">
        <f>'P&amp;L'!D28</f>
        <v>62082110</v>
      </c>
      <c r="E18" s="240">
        <f>'P&amp;L'!E28</f>
        <v>62348620</v>
      </c>
      <c r="F18" s="248">
        <f>'P&amp;L'!F28</f>
        <v>61835499</v>
      </c>
      <c r="G18" s="240">
        <f>'P&amp;L'!G28</f>
        <v>62610013</v>
      </c>
      <c r="H18" s="240">
        <f>'P&amp;L'!H28</f>
        <v>63246785</v>
      </c>
      <c r="I18" s="240">
        <f>'P&amp;L'!I28</f>
        <v>63628351</v>
      </c>
      <c r="J18" s="240">
        <f>'P&amp;L'!J28</f>
        <v>63760491</v>
      </c>
      <c r="K18" s="248">
        <f>'P&amp;L'!K28</f>
        <v>63337792</v>
      </c>
      <c r="L18" s="240">
        <f>'P&amp;L'!L28</f>
        <v>64189194</v>
      </c>
      <c r="M18" s="240">
        <f>'P&amp;L'!M28</f>
        <v>65027985</v>
      </c>
      <c r="N18" s="240">
        <f>'P&amp;L'!N28</f>
        <v>65412326</v>
      </c>
      <c r="O18" s="240">
        <f>'P&amp;L'!O28</f>
        <v>65919533</v>
      </c>
      <c r="P18" s="241">
        <f>'P&amp;L'!P28</f>
        <v>65143036</v>
      </c>
      <c r="Q18" s="240">
        <f>'P&amp;L'!Q28</f>
        <v>66160375</v>
      </c>
      <c r="R18" s="240">
        <f>'P&amp;L'!R28</f>
        <v>66347599</v>
      </c>
      <c r="S18" s="240">
        <f>'P&amp;L'!S28</f>
        <v>67075453</v>
      </c>
      <c r="T18" s="240">
        <f>'P&amp;L'!T28</f>
        <v>66220030</v>
      </c>
      <c r="U18" s="241">
        <f>'P&amp;L'!U28</f>
        <v>66456890</v>
      </c>
      <c r="V18" s="240">
        <f>'P&amp;L'!V28</f>
        <v>64336777</v>
      </c>
      <c r="W18" s="240">
        <f>'P&amp;L'!W28</f>
        <v>64581476</v>
      </c>
      <c r="X18" s="240">
        <f>'P&amp;L'!X28</f>
        <v>64868545</v>
      </c>
      <c r="Y18" s="240">
        <f>'P&amp;L'!Y28</f>
        <v>63430621</v>
      </c>
      <c r="Z18" s="241">
        <f>'P&amp;L'!Z28</f>
        <v>64305965</v>
      </c>
      <c r="AA18" s="240">
        <f>'P&amp;L'!AA28</f>
        <v>61691001</v>
      </c>
      <c r="AB18" s="240">
        <f>'P&amp;L'!AB28</f>
        <v>61415467</v>
      </c>
      <c r="AC18" s="240">
        <f>'P&amp;L'!AC28</f>
        <v>60080598</v>
      </c>
      <c r="AD18" s="240">
        <f>'P&amp;L'!AD28</f>
        <v>60336486</v>
      </c>
      <c r="AE18" s="241">
        <f>'P&amp;L'!AE28</f>
        <v>60876480</v>
      </c>
      <c r="AF18" s="240">
        <f>'P&amp;L'!AF28</f>
        <v>60741674</v>
      </c>
      <c r="AG18" s="240">
        <f>'P&amp;L'!AG28</f>
        <v>60663301</v>
      </c>
      <c r="AH18" s="240">
        <f>'P&amp;L'!AH28</f>
        <v>60873594</v>
      </c>
      <c r="AI18" s="240">
        <f>'P&amp;L'!AI28</f>
        <v>60590826</v>
      </c>
      <c r="AJ18" s="241">
        <f>'P&amp;L'!AJ28</f>
        <v>60717446</v>
      </c>
      <c r="AK18" s="240">
        <f>'P&amp;L'!AK28</f>
        <v>60738299</v>
      </c>
      <c r="AL18" s="240">
        <f>'P&amp;L'!AL28</f>
        <v>60240344</v>
      </c>
      <c r="AM18" s="240">
        <v>60318114</v>
      </c>
      <c r="AN18" s="240">
        <f>'P&amp;L'!AN28</f>
        <v>58732771</v>
      </c>
      <c r="AO18" s="241">
        <f>'P&amp;L'!AO28</f>
        <v>60004706.519230776</v>
      </c>
    </row>
    <row r="19" spans="1:41" ht="15" customHeight="1" x14ac:dyDescent="0.25">
      <c r="A19" s="254" t="s">
        <v>228</v>
      </c>
      <c r="B19" s="240">
        <f>'P&amp;L'!B29</f>
        <v>64741942</v>
      </c>
      <c r="C19" s="240">
        <f>'P&amp;L'!C29</f>
        <v>65279611</v>
      </c>
      <c r="D19" s="240">
        <f>'P&amp;L'!D29</f>
        <v>65254238</v>
      </c>
      <c r="E19" s="240">
        <f>'P&amp;L'!E29</f>
        <v>65092423</v>
      </c>
      <c r="F19" s="248">
        <f>'P&amp;L'!F29</f>
        <v>65096486</v>
      </c>
      <c r="G19" s="240">
        <f>'P&amp;L'!G29</f>
        <v>64841134</v>
      </c>
      <c r="H19" s="240">
        <f>'P&amp;L'!H29</f>
        <v>65625097</v>
      </c>
      <c r="I19" s="240">
        <f>'P&amp;L'!I29</f>
        <v>65816422</v>
      </c>
      <c r="J19" s="240">
        <f>'P&amp;L'!J29</f>
        <v>66145704</v>
      </c>
      <c r="K19" s="248">
        <f>'P&amp;L'!K29</f>
        <v>65633470</v>
      </c>
      <c r="L19" s="240">
        <f>'P&amp;L'!L29</f>
        <v>67283012</v>
      </c>
      <c r="M19" s="240">
        <f>'P&amp;L'!M29</f>
        <v>68131274</v>
      </c>
      <c r="N19" s="240">
        <f>'P&amp;L'!N29</f>
        <v>68200343</v>
      </c>
      <c r="O19" s="240">
        <f>'P&amp;L'!O29</f>
        <v>67770156</v>
      </c>
      <c r="P19" s="241">
        <f>'P&amp;L'!P29</f>
        <v>67851971</v>
      </c>
      <c r="Q19" s="240">
        <f>'P&amp;L'!Q29</f>
        <v>67469738</v>
      </c>
      <c r="R19" s="240">
        <f>'P&amp;L'!R29</f>
        <v>67488311</v>
      </c>
      <c r="S19" s="240">
        <f>'P&amp;L'!S29</f>
        <v>68625673</v>
      </c>
      <c r="T19" s="240">
        <f>'P&amp;L'!T29</f>
        <v>67043794</v>
      </c>
      <c r="U19" s="241">
        <f>'P&amp;L'!U29</f>
        <v>67662904</v>
      </c>
      <c r="V19" s="240">
        <f>'P&amp;L'!V29</f>
        <v>66041296</v>
      </c>
      <c r="W19" s="240">
        <f>'P&amp;L'!W29</f>
        <v>65624505</v>
      </c>
      <c r="X19" s="240">
        <f>'P&amp;L'!X29</f>
        <v>66067045</v>
      </c>
      <c r="Y19" s="240">
        <f>'P&amp;L'!Y29</f>
        <v>64655065</v>
      </c>
      <c r="Z19" s="241">
        <f>'P&amp;L'!Z29</f>
        <v>65598588</v>
      </c>
      <c r="AA19" s="240">
        <f>'P&amp;L'!AA29</f>
        <v>62125582</v>
      </c>
      <c r="AB19" s="240">
        <f>'P&amp;L'!AB29</f>
        <v>61790135</v>
      </c>
      <c r="AC19" s="240">
        <f>'P&amp;L'!AC29</f>
        <v>61027795</v>
      </c>
      <c r="AD19" s="240">
        <f>'P&amp;L'!AD29</f>
        <v>62348489</v>
      </c>
      <c r="AE19" s="241">
        <f>'P&amp;L'!AE29</f>
        <v>61818593</v>
      </c>
      <c r="AF19" s="240">
        <f>'P&amp;L'!AF29</f>
        <v>64077410</v>
      </c>
      <c r="AG19" s="240">
        <f>'P&amp;L'!AG29</f>
        <v>64665212</v>
      </c>
      <c r="AH19" s="240">
        <f>'P&amp;L'!AH29</f>
        <v>64197686</v>
      </c>
      <c r="AI19" s="240">
        <f>'P&amp;L'!AI29</f>
        <v>63985850</v>
      </c>
      <c r="AJ19" s="241">
        <f>'P&amp;L'!AJ29</f>
        <v>64231637</v>
      </c>
      <c r="AK19" s="240">
        <f>'P&amp;L'!AK29</f>
        <v>63613550</v>
      </c>
      <c r="AL19" s="240">
        <f>'P&amp;L'!AL29</f>
        <v>62303670</v>
      </c>
      <c r="AM19" s="240">
        <v>63235811</v>
      </c>
      <c r="AN19" s="240">
        <f>'P&amp;L'!AN29</f>
        <v>61898460</v>
      </c>
      <c r="AO19" s="241">
        <f>'P&amp;L'!AO29</f>
        <v>62760197.319102503</v>
      </c>
    </row>
    <row r="20" spans="1:41" ht="15" customHeight="1" x14ac:dyDescent="0.25">
      <c r="F20" s="206"/>
      <c r="K20" s="206"/>
      <c r="P20" s="207"/>
      <c r="U20" s="207"/>
      <c r="Z20" s="207"/>
      <c r="AE20" s="207"/>
      <c r="AJ20" s="207"/>
      <c r="AO20" s="207"/>
    </row>
    <row r="21" spans="1:41" ht="15" customHeight="1" x14ac:dyDescent="0.25">
      <c r="A21" s="151" t="s">
        <v>229</v>
      </c>
      <c r="F21" s="206"/>
      <c r="K21" s="206"/>
      <c r="P21" s="207"/>
      <c r="U21" s="207"/>
      <c r="Z21" s="207"/>
      <c r="AE21" s="207"/>
      <c r="AJ21" s="207"/>
      <c r="AO21" s="207"/>
    </row>
    <row r="22" spans="1:41" ht="15" customHeight="1" x14ac:dyDescent="0.25">
      <c r="A22" s="254" t="s">
        <v>227</v>
      </c>
      <c r="B22" s="255">
        <f>ROUND(B15*1000/B18,2)</f>
        <v>0.34</v>
      </c>
      <c r="C22" s="255">
        <f t="shared" ref="C22:Q22" si="7">ROUND(C15*1000/C18,2)</f>
        <v>0.17</v>
      </c>
      <c r="D22" s="255">
        <f t="shared" si="7"/>
        <v>0.18</v>
      </c>
      <c r="E22" s="255">
        <f t="shared" si="7"/>
        <v>0.75</v>
      </c>
      <c r="F22" s="256">
        <f t="shared" si="7"/>
        <v>1.45</v>
      </c>
      <c r="G22" s="255">
        <f t="shared" si="7"/>
        <v>0.45</v>
      </c>
      <c r="H22" s="255">
        <f t="shared" si="7"/>
        <v>0.35</v>
      </c>
      <c r="I22" s="255">
        <f t="shared" si="7"/>
        <v>0.49</v>
      </c>
      <c r="J22" s="255">
        <f t="shared" si="7"/>
        <v>0.87</v>
      </c>
      <c r="K22" s="256">
        <f t="shared" si="7"/>
        <v>2.16</v>
      </c>
      <c r="L22" s="255">
        <f t="shared" si="7"/>
        <v>0.48</v>
      </c>
      <c r="M22" s="255">
        <f t="shared" si="7"/>
        <v>0.4</v>
      </c>
      <c r="N22" s="255">
        <f t="shared" si="7"/>
        <v>0.68</v>
      </c>
      <c r="O22" s="255">
        <f t="shared" si="7"/>
        <v>1.24</v>
      </c>
      <c r="P22" s="257">
        <f t="shared" si="7"/>
        <v>2.81</v>
      </c>
      <c r="Q22" s="255">
        <f t="shared" si="7"/>
        <v>0.61</v>
      </c>
      <c r="R22" s="255">
        <f t="shared" ref="R22:V22" si="8">ROUND(R15*1000/R18,2)</f>
        <v>0.53</v>
      </c>
      <c r="S22" s="255">
        <f t="shared" si="8"/>
        <v>0.54</v>
      </c>
      <c r="T22" s="255">
        <f t="shared" si="8"/>
        <v>0.85</v>
      </c>
      <c r="U22" s="257">
        <f t="shared" si="8"/>
        <v>2.54</v>
      </c>
      <c r="V22" s="255">
        <f t="shared" si="8"/>
        <v>0.62</v>
      </c>
      <c r="W22" s="255">
        <f t="shared" ref="W22:AA22" si="9">ROUND(W15*1000/W18,2)</f>
        <v>0.48</v>
      </c>
      <c r="X22" s="255">
        <f t="shared" si="9"/>
        <v>0.55000000000000004</v>
      </c>
      <c r="Y22" s="255">
        <f t="shared" si="9"/>
        <v>1.1000000000000001</v>
      </c>
      <c r="Z22" s="257">
        <f t="shared" si="9"/>
        <v>2.73</v>
      </c>
      <c r="AA22" s="255">
        <f t="shared" si="9"/>
        <v>0.52</v>
      </c>
      <c r="AB22" s="255">
        <f t="shared" ref="AB22:AF22" si="10">ROUND(AB15*1000/AB18,2)</f>
        <v>0.27</v>
      </c>
      <c r="AC22" s="255">
        <f t="shared" si="10"/>
        <v>0.4</v>
      </c>
      <c r="AD22" s="255">
        <f t="shared" si="10"/>
        <v>1.01</v>
      </c>
      <c r="AE22" s="257">
        <f t="shared" si="10"/>
        <v>2.2000000000000002</v>
      </c>
      <c r="AF22" s="255">
        <f t="shared" si="10"/>
        <v>0.71</v>
      </c>
      <c r="AG22" s="255">
        <f t="shared" ref="AG22:AK22" si="11">ROUND(AG15*1000/AG18,2)</f>
        <v>0.67</v>
      </c>
      <c r="AH22" s="255">
        <f t="shared" si="11"/>
        <v>0.67</v>
      </c>
      <c r="AI22" s="255">
        <f t="shared" si="11"/>
        <v>1.52</v>
      </c>
      <c r="AJ22" s="257">
        <f t="shared" si="11"/>
        <v>3.58</v>
      </c>
      <c r="AK22" s="255">
        <f t="shared" si="11"/>
        <v>0.56000000000000005</v>
      </c>
      <c r="AL22" s="255">
        <f>ROUND(AL15*1000/AL18,2)</f>
        <v>0.38</v>
      </c>
      <c r="AM22" s="255">
        <f>ROUND(AM15*1000/AM18,2)</f>
        <v>0.55000000000000004</v>
      </c>
      <c r="AN22" s="255">
        <f t="shared" ref="AN22" si="12">ROUND(AN15*1000/AN18,2)</f>
        <v>0.88</v>
      </c>
      <c r="AO22" s="257">
        <f>ROUND(AO15*1000/AO18,2)</f>
        <v>2.89</v>
      </c>
    </row>
    <row r="23" spans="1:41" ht="15" customHeight="1" x14ac:dyDescent="0.25">
      <c r="A23" s="254" t="s">
        <v>228</v>
      </c>
      <c r="B23" s="255">
        <f>ROUND(B15*1000/B19,2)</f>
        <v>0.32</v>
      </c>
      <c r="C23" s="255">
        <f t="shared" ref="C23:Q23" si="13">ROUND(C15*1000/C19,2)</f>
        <v>0.16</v>
      </c>
      <c r="D23" s="255">
        <f t="shared" si="13"/>
        <v>0.17</v>
      </c>
      <c r="E23" s="255">
        <f t="shared" si="13"/>
        <v>0.72</v>
      </c>
      <c r="F23" s="256">
        <f t="shared" si="13"/>
        <v>1.38</v>
      </c>
      <c r="G23" s="255">
        <f t="shared" si="13"/>
        <v>0.43</v>
      </c>
      <c r="H23" s="255">
        <f t="shared" si="13"/>
        <v>0.33</v>
      </c>
      <c r="I23" s="255">
        <f t="shared" si="13"/>
        <v>0.48</v>
      </c>
      <c r="J23" s="255">
        <f t="shared" si="13"/>
        <v>0.84</v>
      </c>
      <c r="K23" s="258">
        <f t="shared" si="13"/>
        <v>2.08</v>
      </c>
      <c r="L23" s="255">
        <f t="shared" si="13"/>
        <v>0.46</v>
      </c>
      <c r="M23" s="255">
        <f t="shared" si="13"/>
        <v>0.39</v>
      </c>
      <c r="N23" s="259">
        <f t="shared" si="13"/>
        <v>0.65</v>
      </c>
      <c r="O23" s="259">
        <f t="shared" si="13"/>
        <v>1.21</v>
      </c>
      <c r="P23" s="260">
        <f t="shared" si="13"/>
        <v>2.7</v>
      </c>
      <c r="Q23" s="259">
        <f t="shared" si="13"/>
        <v>0.6</v>
      </c>
      <c r="R23" s="259">
        <f t="shared" ref="R23:V23" si="14">ROUND(R15*1000/R19,2)</f>
        <v>0.53</v>
      </c>
      <c r="S23" s="259">
        <f t="shared" si="14"/>
        <v>0.53</v>
      </c>
      <c r="T23" s="259">
        <f t="shared" si="14"/>
        <v>0.84</v>
      </c>
      <c r="U23" s="260">
        <f t="shared" si="14"/>
        <v>2.4900000000000002</v>
      </c>
      <c r="V23" s="259">
        <f t="shared" si="14"/>
        <v>0.6</v>
      </c>
      <c r="W23" s="259">
        <f t="shared" ref="W23:AA23" si="15">ROUND(W15*1000/W19,2)</f>
        <v>0.47</v>
      </c>
      <c r="X23" s="259">
        <f t="shared" si="15"/>
        <v>0.54</v>
      </c>
      <c r="Y23" s="259">
        <f t="shared" si="15"/>
        <v>1.08</v>
      </c>
      <c r="Z23" s="260">
        <f t="shared" si="15"/>
        <v>2.67</v>
      </c>
      <c r="AA23" s="259">
        <f t="shared" si="15"/>
        <v>0.52</v>
      </c>
      <c r="AB23" s="259">
        <f t="shared" ref="AB23:AF23" si="16">ROUND(AB15*1000/AB19,2)</f>
        <v>0.27</v>
      </c>
      <c r="AC23" s="259">
        <f t="shared" si="16"/>
        <v>0.4</v>
      </c>
      <c r="AD23" s="259">
        <f t="shared" si="16"/>
        <v>0.98</v>
      </c>
      <c r="AE23" s="260">
        <f t="shared" si="16"/>
        <v>2.17</v>
      </c>
      <c r="AF23" s="259">
        <f t="shared" si="16"/>
        <v>0.67</v>
      </c>
      <c r="AG23" s="259">
        <f t="shared" ref="AG23:AK23" si="17">ROUND(AG15*1000/AG19,2)</f>
        <v>0.63</v>
      </c>
      <c r="AH23" s="259">
        <f t="shared" si="17"/>
        <v>0.64</v>
      </c>
      <c r="AI23" s="259">
        <f t="shared" si="17"/>
        <v>1.44</v>
      </c>
      <c r="AJ23" s="260">
        <f t="shared" si="17"/>
        <v>3.38</v>
      </c>
      <c r="AK23" s="259">
        <f t="shared" si="17"/>
        <v>0.53</v>
      </c>
      <c r="AL23" s="259">
        <f>ROUND(AL15*1000/AL19,2)</f>
        <v>0.37</v>
      </c>
      <c r="AM23" s="259">
        <f>ROUND(AM15*1000/AM19,2)</f>
        <v>0.53</v>
      </c>
      <c r="AN23" s="259">
        <f t="shared" ref="AN23:AO23" si="18">ROUND(AN15*1000/AN19,2)</f>
        <v>0.84</v>
      </c>
      <c r="AO23" s="260">
        <f t="shared" si="18"/>
        <v>2.76</v>
      </c>
    </row>
    <row r="24" spans="1:41" ht="15" customHeight="1" x14ac:dyDescent="0.25">
      <c r="F24" s="206"/>
      <c r="K24" s="206"/>
      <c r="P24" s="207"/>
      <c r="U24" s="207"/>
      <c r="Z24" s="207"/>
      <c r="AE24" s="207"/>
      <c r="AJ24" s="207"/>
      <c r="AO24" s="207"/>
    </row>
    <row r="25" spans="1:41" ht="134.25" customHeight="1" x14ac:dyDescent="0.25">
      <c r="A25" s="282" t="s">
        <v>230</v>
      </c>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row>
    <row r="26" spans="1:41" ht="15" customHeight="1" x14ac:dyDescent="0.25"/>
    <row r="27" spans="1:41" ht="15" customHeight="1" x14ac:dyDescent="0.25"/>
    <row r="28" spans="1:41" ht="15" customHeight="1" x14ac:dyDescent="0.25"/>
    <row r="29" spans="1:41" ht="15" customHeight="1" x14ac:dyDescent="0.25"/>
    <row r="30" spans="1:41" ht="15" customHeight="1" x14ac:dyDescent="0.25"/>
    <row r="31" spans="1:41" ht="15" customHeight="1" x14ac:dyDescent="0.25"/>
    <row r="32" spans="1:4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sheetData>
  <mergeCells count="1">
    <mergeCell ref="A25:AG2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36854949ECD149A2096B1C1F8454E7" ma:contentTypeVersion="16" ma:contentTypeDescription="Create a new document." ma:contentTypeScope="" ma:versionID="2986c8db8deb88daf6a6444bb91ff7d9">
  <xsd:schema xmlns:xsd="http://www.w3.org/2001/XMLSchema" xmlns:xs="http://www.w3.org/2001/XMLSchema" xmlns:p="http://schemas.microsoft.com/office/2006/metadata/properties" xmlns:ns2="21713d80-713e-4630-95a9-09125392c97e" xmlns:ns3="17723094-b48d-4553-a289-9e55402c0c9a" targetNamespace="http://schemas.microsoft.com/office/2006/metadata/properties" ma:root="true" ma:fieldsID="a449f57982639619c4aca82ef930e637" ns2:_="" ns3:_="">
    <xsd:import namespace="21713d80-713e-4630-95a9-09125392c97e"/>
    <xsd:import namespace="17723094-b48d-4553-a289-9e55402c0c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13d80-713e-4630-95a9-09125392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c30af2-885c-48a4-ac70-c1b0492118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723094-b48d-4553-a289-9e55402c0c9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0083f53-9dc7-4af6-bd02-bf99ab842aa1}" ma:internalName="TaxCatchAll" ma:showField="CatchAllData" ma:web="17723094-b48d-4553-a289-9e55402c0c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7723094-b48d-4553-a289-9e55402c0c9a">
      <UserInfo>
        <DisplayName>Yassine Bouhajeb</DisplayName>
        <AccountId>38</AccountId>
        <AccountType/>
      </UserInfo>
      <UserInfo>
        <DisplayName>Julie Charrier</DisplayName>
        <AccountId>41</AccountId>
        <AccountType/>
      </UserInfo>
      <UserInfo>
        <DisplayName>Ahmed Lakhloufi</DisplayName>
        <AccountId>15</AccountId>
        <AccountType/>
      </UserInfo>
      <UserInfo>
        <DisplayName>mgadonneix@avocats.deloitte.fr</DisplayName>
        <AccountId>354</AccountId>
        <AccountType/>
      </UserInfo>
      <UserInfo>
        <DisplayName>YOUNA BURO</DisplayName>
        <AccountId>349</AccountId>
        <AccountType/>
      </UserInfo>
    </SharedWithUsers>
    <TaxCatchAll xmlns="17723094-b48d-4553-a289-9e55402c0c9a" xsi:nil="true"/>
    <lcf76f155ced4ddcb4097134ff3c332f xmlns="21713d80-713e-4630-95a9-09125392c9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40E49D-851C-480C-B535-FFBC4EB4146D}">
  <ds:schemaRefs>
    <ds:schemaRef ds:uri="http://schemas.microsoft.com/sharepoint/v3/contenttype/forms"/>
  </ds:schemaRefs>
</ds:datastoreItem>
</file>

<file path=customXml/itemProps2.xml><?xml version="1.0" encoding="utf-8"?>
<ds:datastoreItem xmlns:ds="http://schemas.openxmlformats.org/officeDocument/2006/customXml" ds:itemID="{7CDE049F-4B97-4E85-BA4E-227F6FC57A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13d80-713e-4630-95a9-09125392c97e"/>
    <ds:schemaRef ds:uri="17723094-b48d-4553-a289-9e55402c0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ADB801-AF3A-4BA5-A644-EAD8C5860CC3}">
  <ds:schemaRefs>
    <ds:schemaRef ds:uri="http://schemas.microsoft.com/office/2006/metadata/properties"/>
    <ds:schemaRef ds:uri="http://schemas.microsoft.com/office/infopath/2007/PartnerControls"/>
    <ds:schemaRef ds:uri="17723094-b48d-4553-a289-9e55402c0c9a"/>
    <ds:schemaRef ds:uri="21713d80-713e-4630-95a9-09125392c97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Balance Sheet</vt:lpstr>
      <vt:lpstr>P&amp;L</vt:lpstr>
      <vt:lpstr>Cashflows</vt:lpstr>
      <vt:lpstr>Free Cash Flow</vt:lpstr>
      <vt:lpstr>Contribution Ex Tac</vt:lpstr>
      <vt:lpstr>Non GAAP OPEX</vt:lpstr>
      <vt:lpstr>Reconciliation Adj EBITDA</vt:lpstr>
      <vt:lpstr>Non GAAP Adjustments</vt:lpstr>
      <vt:lpstr>Adjusted Net Inc</vt:lpstr>
      <vt:lpstr>Historic Quarter Summary</vt:lpstr>
      <vt:lpstr>Shares Outstanding</vt:lpstr>
      <vt:lpstr>Marketing Solutions</vt:lpstr>
    </vt:vector>
  </TitlesOfParts>
  <Manager/>
  <Company>Workiva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subject/>
  <dc:creator>Workiva - Clemence Vermersch</dc:creator>
  <cp:keywords/>
  <dc:description/>
  <cp:lastModifiedBy>YOUNA BURO</cp:lastModifiedBy>
  <cp:revision/>
  <dcterms:created xsi:type="dcterms:W3CDTF">2018-04-23T12:05:21Z</dcterms:created>
  <dcterms:modified xsi:type="dcterms:W3CDTF">2023-03-27T15:00:12Z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0x010100ED36854949ECD149A2096B1C1F8454E7</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y fmtid="{D5CDD505-2E9C-101B-9397-08002B2CF9AE}" pid="7" name="CofWorkbookId">
    <vt:lpwstr>8f258742-c710-45a3-8288-2326cac26337</vt:lpwstr>
  </property>
</Properties>
</file>